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105" activeTab="4"/>
  </bookViews>
  <sheets>
    <sheet name="TBSalarial" sheetId="1" r:id="rId1"/>
    <sheet name="TBSalarial (2)" sheetId="2" r:id="rId2"/>
    <sheet name="Fev05" sheetId="3" r:id="rId3"/>
    <sheet name="Mar05" sheetId="4" r:id="rId4"/>
    <sheet name="Mar05NVTabela" sheetId="5" r:id="rId5"/>
    <sheet name="Plan2" sheetId="6" r:id="rId6"/>
    <sheet name="Plan3" sheetId="7" r:id="rId7"/>
  </sheets>
  <definedNames>
    <definedName name="slminimo">#REF!</definedName>
    <definedName name="_xlnm.Print_Titles" localSheetId="5">'Plan2'!$1:$3</definedName>
    <definedName name="vrefeicao">#REF!</definedName>
  </definedNames>
  <calcPr fullCalcOnLoad="1"/>
</workbook>
</file>

<file path=xl/sharedStrings.xml><?xml version="1.0" encoding="utf-8"?>
<sst xmlns="http://schemas.openxmlformats.org/spreadsheetml/2006/main" count="309" uniqueCount="188">
  <si>
    <t xml:space="preserve">O Projeto de Lei nº 2.406 que altera a tabela salarial dos servidores da Administração Direta do Município de Ponte Nova e ainda concede um reajuste linear de 2% (dois por cento) prevê um gasto orçamentário-financeiro de aproximadamente R$15.800.000,00 (quinze milhões e oitocentos mil reais) para o exercício de 2005. Para o período de Maio a Dez/05 projeta-se um gasto de R$11.100.000,00 (onze milhões e cem mil reais), sendo que há, para o mesmo período, saldo orçamentário de R$11.600.000,00 (onze milhões e seiscentos mil reais). 
Merece ressalva os impactos específicos na educação e saúde para o exercício corrente. Na educação geral e saúde (FMS e vínculos especiais), o saldo orçamentário geral não comporta todo o reajuste proposto, porém poderá ser remanejado parte dos saldo de fichas orçamentárias de pessoal que compõem os gastos com recursos próprios, a fim de suprir o déficit citado.
No impacto financeiro, o acréscimo mensal de desembolso em relação ao realizado em março/2005 está estimado em pouco mais de R$ 200.000,00 (duzentos mil reais) - Quadro II, subdividido em recursos próprios,  FUNDEF, Saúde e  repasses para Educação.
</t>
  </si>
  <si>
    <t>Diferença entre Grupos</t>
  </si>
  <si>
    <t>Grupo II</t>
  </si>
  <si>
    <t>Diferenciado</t>
  </si>
  <si>
    <t>TABELA SALARIAL</t>
  </si>
  <si>
    <t>PROPOSTA</t>
  </si>
  <si>
    <t>Valor Atual</t>
  </si>
  <si>
    <t>Nivel</t>
  </si>
  <si>
    <t>Novo Valor</t>
  </si>
  <si>
    <t>Dif. %</t>
  </si>
  <si>
    <t>Dif. Real</t>
  </si>
  <si>
    <t>Diretor Ens. Fund.</t>
  </si>
  <si>
    <t>Diretor Ens. Infant.</t>
  </si>
  <si>
    <t>Orientador Educ./Superv.</t>
  </si>
  <si>
    <t>PI - 2º G</t>
  </si>
  <si>
    <t>PI - 3º G</t>
  </si>
  <si>
    <t>PI - Cont</t>
  </si>
  <si>
    <t>Prof. Coord. I</t>
  </si>
  <si>
    <t>Prof. Coord. II</t>
  </si>
  <si>
    <t>Professor II</t>
  </si>
  <si>
    <t>Vice-Diretor</t>
  </si>
  <si>
    <t>Estag./Guarda-Mirim</t>
  </si>
  <si>
    <t>F Nivel - 1</t>
  </si>
  <si>
    <t>F Nivel - 2</t>
  </si>
  <si>
    <t>F Nivel - 3</t>
  </si>
  <si>
    <t>F Nivel - 4</t>
  </si>
  <si>
    <t>F Nivel - 5</t>
  </si>
  <si>
    <t>F Nivel - 6</t>
  </si>
  <si>
    <t>F Nivel - 7</t>
  </si>
  <si>
    <t>F Nivel - 8</t>
  </si>
  <si>
    <t>F Nivel - 9</t>
  </si>
  <si>
    <t>F Nivel - 10</t>
  </si>
  <si>
    <t>F Nivel - 11</t>
  </si>
  <si>
    <t>F Nivel - 12</t>
  </si>
  <si>
    <t>F Nivel - 13</t>
  </si>
  <si>
    <t>F Nivel - 14</t>
  </si>
  <si>
    <t>F Nivel - 15</t>
  </si>
  <si>
    <t>F Nivel - 16</t>
  </si>
  <si>
    <t>F Nivel - 17</t>
  </si>
  <si>
    <t>F Nivel - 18</t>
  </si>
  <si>
    <t>F Nivel - 19</t>
  </si>
  <si>
    <t>F Nivel - 20</t>
  </si>
  <si>
    <t>F Nivel - 21</t>
  </si>
  <si>
    <t>F Nivel - 22</t>
  </si>
  <si>
    <t>F Nivel - 23</t>
  </si>
  <si>
    <t>F Nivel - 24</t>
  </si>
  <si>
    <t>F Nivel - 25</t>
  </si>
  <si>
    <t>F Nivel - 26</t>
  </si>
  <si>
    <t>F Nivel - 27</t>
  </si>
  <si>
    <t>F Nivel - 28</t>
  </si>
  <si>
    <t>F Nivel - 29</t>
  </si>
  <si>
    <t>F Nivel - 30</t>
  </si>
  <si>
    <t>F Nivel - 31</t>
  </si>
  <si>
    <t>F Nivel - 32</t>
  </si>
  <si>
    <t>F Nivel - 33</t>
  </si>
  <si>
    <t>F Nivel - 34</t>
  </si>
  <si>
    <t>F Nivel - 35</t>
  </si>
  <si>
    <t>F Nivel - 36</t>
  </si>
  <si>
    <t>F Nivel - 37</t>
  </si>
  <si>
    <t>F Nivel - 38</t>
  </si>
  <si>
    <t>F Nivel - 39</t>
  </si>
  <si>
    <t>F Nivel - 40</t>
  </si>
  <si>
    <t>F Nivel - 41</t>
  </si>
  <si>
    <t>F Nivel - 42</t>
  </si>
  <si>
    <t>F Nivel - 43</t>
  </si>
  <si>
    <t>Secretário</t>
  </si>
  <si>
    <t>Prefeito</t>
  </si>
  <si>
    <t>CARGOS DE CONFIANÇA/COMISSIONADOS</t>
  </si>
  <si>
    <t>Valor</t>
  </si>
  <si>
    <t>Nível/Cargo</t>
  </si>
  <si>
    <t>CARREIRA GERAL</t>
  </si>
  <si>
    <t>CARREIRA MAGISTÉRIO</t>
  </si>
  <si>
    <t>GRATIFICAÇÃO DE FUNÇÃO</t>
  </si>
  <si>
    <t>ANEXO I
TABELA SALARIAL</t>
  </si>
  <si>
    <t>MÊS</t>
  </si>
  <si>
    <t>R. C. LÍQUIDA</t>
  </si>
  <si>
    <t>PESSOAL</t>
  </si>
  <si>
    <t>% RCL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</si>
  <si>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</si>
  <si>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</si>
  <si>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</si>
  <si>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</si>
  <si>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</si>
  <si>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</si>
  <si>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</si>
  <si>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</si>
  <si>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</si>
  <si>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</si>
  <si>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</si>
  <si>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</si>
  <si>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MAR/DEZ-2004</t>
  </si>
  <si>
    <t>JAN/FEV-2005</t>
  </si>
  <si>
    <t>MAR-04/FEV-05</t>
  </si>
  <si>
    <t>PREVISÃO MAR/DEZ</t>
  </si>
  <si>
    <t>PROJEÇÃO TOTAL</t>
  </si>
  <si>
    <t>PROJEÇÃO MAR/ABR</t>
  </si>
  <si>
    <t>DMAES</t>
  </si>
  <si>
    <t>CÂMARA</t>
  </si>
  <si>
    <t>PROJEÇÃO MAI/DEZ</t>
  </si>
  <si>
    <t>QUADRO I
ESTIMATIVA DE GASTOS COM PESSOAL EM RELAÇÃO À
RECEITA CORRENTE LÍQUIDA</t>
  </si>
  <si>
    <t>PREFEITURA</t>
  </si>
  <si>
    <t>QUADRO II
PROJEÇÃO DE IMPACTO FINANCEIRO</t>
  </si>
  <si>
    <t>Valor total da Folha de Março/2005</t>
  </si>
  <si>
    <t>INSS - Parte patronal (21%)</t>
  </si>
  <si>
    <t>Custo Total da Folha</t>
  </si>
  <si>
    <t>Custo Total da Folha Projetado</t>
  </si>
  <si>
    <t>Custo Total  Projetado</t>
  </si>
  <si>
    <t>Impacto Financeiro Projetado</t>
  </si>
  <si>
    <t>Desta forma, de acordo com o quadro "Estimativa de Gastos com Pessoal em Relação à RCL", QUADRO I, prevê-se um percentual de 41,13% (quarenta e um inteiros e treze centésimos por cento) para o exercício de 2005. Na análise de projeção de gastos com pessoal para os dois exercícios seguintes, 2006 e 2007, podemos considerar que o Demonstrativo XI - Total das Despesas e Memória de Cálculo, constante no Projeto de Lei nº 2.401 (LDO - 2006), contempla previsão superior à projeção de gastos para o exercício de 2005, acrescido de 10% (dez por cento) a cada ano.
Finalmente, os acréscimos de despesas decorrentes do presente projeto não implica em comprometimento das metas fixadas pela Administração, atendendo plenamente as disposições dos artigos 16 e 17 da Lei Complementar Nº 101/2000.</t>
  </si>
  <si>
    <t>Ponte Nova, 25 de abril de 2005.</t>
  </si>
  <si>
    <t>José Roberto de Oliveira</t>
  </si>
  <si>
    <t>Secretário Municipal de Fazenda</t>
  </si>
  <si>
    <t>FICHAS</t>
  </si>
  <si>
    <t>SALÁRIO</t>
  </si>
  <si>
    <t>SFAMÍLIA</t>
  </si>
  <si>
    <t>EVENTOS</t>
  </si>
  <si>
    <t>ADIC.NOTUR.</t>
  </si>
  <si>
    <t>REPOUSO</t>
  </si>
  <si>
    <t>HORA AULA</t>
  </si>
  <si>
    <t>SUBSIDIO</t>
  </si>
  <si>
    <t>COMP.QUINQ</t>
  </si>
  <si>
    <t>DIF SAL.</t>
  </si>
  <si>
    <t>SAL.NORMAL</t>
  </si>
  <si>
    <t>ADICSERV</t>
  </si>
  <si>
    <t>INSAL.20%</t>
  </si>
  <si>
    <t>INSAL.40%</t>
  </si>
  <si>
    <t>EX.CLAS.</t>
  </si>
  <si>
    <t>EXTRA 50%</t>
  </si>
  <si>
    <t>TOTAL</t>
  </si>
  <si>
    <t>QUEB/IPSE</t>
  </si>
  <si>
    <t>RESP20%</t>
  </si>
  <si>
    <t>REGENCIA</t>
  </si>
  <si>
    <t>PERIC.</t>
  </si>
  <si>
    <t>H.AULA</t>
  </si>
  <si>
    <t>GRAT.40%</t>
  </si>
  <si>
    <t>QUINQ.5%</t>
  </si>
  <si>
    <t>QUIN.TRANS.</t>
  </si>
  <si>
    <t>GRAT.FUNÇ.</t>
  </si>
  <si>
    <t>DOBRA H AULA</t>
  </si>
  <si>
    <t>VALE REFEIÇ.</t>
  </si>
  <si>
    <t>ABON.COMP</t>
  </si>
  <si>
    <t>EXTRA</t>
  </si>
  <si>
    <t>L.MATER</t>
  </si>
  <si>
    <t>FORM.INTEL.</t>
  </si>
  <si>
    <t>ADIC.REG.</t>
  </si>
  <si>
    <t>GR.FISCAIS</t>
  </si>
  <si>
    <t>QUINQ.10%</t>
  </si>
  <si>
    <t>ver 177</t>
  </si>
  <si>
    <t>PREF</t>
  </si>
  <si>
    <t>SAÚDE</t>
  </si>
  <si>
    <t>PLANTAO</t>
  </si>
  <si>
    <t>DOBRA TUR</t>
  </si>
  <si>
    <t>PREF ALT</t>
  </si>
  <si>
    <t>SAÚDE ALT</t>
  </si>
  <si>
    <t>TOTAL 2</t>
  </si>
  <si>
    <t>SALDO ORÇ.</t>
  </si>
  <si>
    <t>PROJ. 9X</t>
  </si>
  <si>
    <t>DIFERENÇA</t>
  </si>
  <si>
    <t>SEMSA</t>
  </si>
  <si>
    <t>PROPRIO</t>
  </si>
  <si>
    <t>EDUCAÇÃO</t>
  </si>
  <si>
    <t>SALDO (-)</t>
  </si>
  <si>
    <t>SALDO (+)</t>
  </si>
  <si>
    <t xml:space="preserve">PROPRIO </t>
  </si>
  <si>
    <t>FUNDEF</t>
  </si>
  <si>
    <t>FMS</t>
  </si>
  <si>
    <t>PACS</t>
  </si>
  <si>
    <t>PSF</t>
  </si>
  <si>
    <t>SIASIH</t>
  </si>
  <si>
    <t>PABFIX</t>
  </si>
  <si>
    <t>VIGSAN</t>
  </si>
  <si>
    <t>EPCDOE</t>
  </si>
  <si>
    <t>SEGEP</t>
  </si>
  <si>
    <t>EDU 10</t>
  </si>
  <si>
    <t>EDU 15</t>
  </si>
  <si>
    <t>FUNDEF 60</t>
  </si>
  <si>
    <t>FUNDEF 40</t>
  </si>
  <si>
    <t>UNIDADE</t>
  </si>
  <si>
    <t>SALDO</t>
  </si>
  <si>
    <t>PROJEÇÃO</t>
  </si>
  <si>
    <t>TOTAL C/INSS</t>
  </si>
  <si>
    <t>ANEXO II</t>
  </si>
  <si>
    <t>IMPACTO ORÇAMENTÁRIO-FINANCEIRO E METODOLOGIA DE CÁLCULO</t>
  </si>
  <si>
    <t>PREFEITURA MUNICIPAL DE PONTE NOVA</t>
  </si>
  <si>
    <t>ESTADO DE MINAS GERAIS</t>
  </si>
  <si>
    <t>Na análise dos gastos do Município com pessoal para o exercício de 2005, a projeção é de R$18.800.000,00 (dezoito milhões e oitocentos mil reais), compostos da seguinte forma: R$15.800.000,00 (quinze milhões e oitocentos reais) da Administração Direta, R$2.200.000,00 (dois milhões e duzentos mil reais) da Administração Indireta e R$800.000,00 (oitocentos mil reais) para a Câmara Municipal. Em análise do gasto com despesas de pessoal projetado para o exercício, de acordo com a proposta de alteração salarial, consideramos que a projeção da receita corrente líquida para o exercício de 2005 será de aproximadamente R$45.800.000,00 (quarenta e cinco milhões e oitocentos mil reais).</t>
  </si>
  <si>
    <t>Secretário M. de Gestão e Planejamento</t>
  </si>
  <si>
    <t>Felipe Neri de Almeida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</si>
</sst>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&quot;R$&quot;#,##0_);\(&quot;R$&quot;#,##0\)"/>
    <numFmt numFmtId="166" formatCode="&quot;R$&quot;#,##0_);[Red]\(&quot;R$&quot;#,##0\)"/>
    <numFmt numFmtId="167" formatCode="&quot;R$&quot;#,##0.00_);\(&quot;R$&quot;#,##0.00\)"/>
    <numFmt numFmtId="168" formatCode="&quot;R$&quot;#,##0.00_);[Red]\(&quot;R$&quot;#,##0.00\)"/>
    <numFmt numFmtId="169" formatCode="_(&quot;R$&quot;* #,##0_);_(&quot;R$&quot;* \(#,##0\);_(&quot;R$&quot;* &quot;-&quot;_);_(@_)"/>
    <numFmt numFmtId="170" formatCode="_(&quot;R$&quot;* #,##0.00_);_(&quot;R$&quot;* \(#,##0.00\);_(&quot;R$&quot;* &quot;-&quot;??_);_(@_)"/>
    <numFmt numFmtId="171" formatCode="000"/>
    <numFmt numFmtId="172" formatCode="000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3" fontId="0" fillId="0" borderId="0" xfId="18" applyAlignment="1">
      <alignment/>
    </xf>
    <xf numFmtId="0" fontId="0" fillId="0" borderId="0" xfId="0" applyAlignment="1">
      <alignment horizontal="center"/>
    </xf>
    <xf numFmtId="43" fontId="0" fillId="0" borderId="0" xfId="18" applyAlignment="1">
      <alignment horizontal="center"/>
    </xf>
    <xf numFmtId="43" fontId="0" fillId="0" borderId="0" xfId="18" applyFont="1" applyAlignment="1">
      <alignment/>
    </xf>
    <xf numFmtId="43" fontId="0" fillId="0" borderId="0" xfId="18" applyAlignment="1">
      <alignment horizontal="left"/>
    </xf>
    <xf numFmtId="0" fontId="1" fillId="0" borderId="0" xfId="0" applyFont="1" applyAlignment="1">
      <alignment horizontal="center"/>
    </xf>
    <xf numFmtId="43" fontId="1" fillId="0" borderId="0" xfId="18" applyFont="1" applyAlignment="1">
      <alignment/>
    </xf>
    <xf numFmtId="0" fontId="1" fillId="0" borderId="0" xfId="0" applyFont="1" applyAlignment="1">
      <alignment/>
    </xf>
    <xf numFmtId="43" fontId="1" fillId="0" borderId="0" xfId="18" applyFont="1" applyAlignment="1">
      <alignment horizontal="center"/>
    </xf>
    <xf numFmtId="43" fontId="2" fillId="0" borderId="0" xfId="18" applyFont="1" applyAlignment="1">
      <alignment/>
    </xf>
    <xf numFmtId="43" fontId="3" fillId="0" borderId="0" xfId="18" applyFont="1" applyAlignment="1">
      <alignment horizontal="center"/>
    </xf>
    <xf numFmtId="43" fontId="3" fillId="0" borderId="0" xfId="18" applyFont="1" applyAlignment="1">
      <alignment/>
    </xf>
    <xf numFmtId="43" fontId="0" fillId="0" borderId="0" xfId="18" applyFont="1" applyAlignment="1">
      <alignment/>
    </xf>
    <xf numFmtId="43" fontId="0" fillId="0" borderId="0" xfId="18" applyAlignment="1">
      <alignment/>
    </xf>
    <xf numFmtId="43" fontId="0" fillId="0" borderId="0" xfId="18" applyAlignment="1">
      <alignment horizontal="left"/>
    </xf>
    <xf numFmtId="43" fontId="0" fillId="0" borderId="0" xfId="18" applyAlignment="1">
      <alignment horizontal="center"/>
    </xf>
    <xf numFmtId="43" fontId="0" fillId="0" borderId="0" xfId="18" applyFont="1" applyAlignment="1">
      <alignment/>
    </xf>
    <xf numFmtId="43" fontId="0" fillId="0" borderId="0" xfId="18" applyAlignment="1">
      <alignment vertic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43" fontId="0" fillId="0" borderId="1" xfId="18" applyBorder="1" applyAlignment="1">
      <alignment vertical="center"/>
    </xf>
    <xf numFmtId="43" fontId="0" fillId="0" borderId="1" xfId="18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8" applyBorder="1" applyAlignment="1">
      <alignment vertic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3" fontId="0" fillId="0" borderId="0" xfId="18" applyAlignment="1">
      <alignment vertical="center"/>
    </xf>
    <xf numFmtId="0" fontId="4" fillId="0" borderId="0" xfId="0" applyFont="1" applyAlignment="1">
      <alignment horizontal="center" vertical="top" wrapText="1"/>
    </xf>
    <xf numFmtId="43" fontId="1" fillId="0" borderId="1" xfId="18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" xfId="18" applyBorder="1" applyAlignment="1">
      <alignment vertical="center"/>
    </xf>
    <xf numFmtId="43" fontId="0" fillId="0" borderId="1" xfId="18" applyNumberFormat="1" applyFont="1" applyBorder="1" applyAlignment="1">
      <alignment vertical="center"/>
    </xf>
    <xf numFmtId="43" fontId="1" fillId="0" borderId="0" xfId="18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40" fontId="0" fillId="0" borderId="0" xfId="18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43" fontId="0" fillId="0" borderId="1" xfId="18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1" fillId="0" borderId="1" xfId="18" applyFont="1" applyBorder="1" applyAlignment="1">
      <alignment horizontal="center" vertical="center"/>
    </xf>
    <xf numFmtId="43" fontId="0" fillId="0" borderId="0" xfId="18" applyFont="1" applyBorder="1" applyAlignment="1">
      <alignment vertical="center"/>
    </xf>
    <xf numFmtId="43" fontId="1" fillId="0" borderId="0" xfId="18" applyFont="1" applyBorder="1" applyAlignment="1">
      <alignment horizontal="center" vertical="center"/>
    </xf>
    <xf numFmtId="43" fontId="1" fillId="0" borderId="2" xfId="18" applyFont="1" applyBorder="1" applyAlignment="1">
      <alignment horizontal="center" vertical="center"/>
    </xf>
    <xf numFmtId="43" fontId="1" fillId="0" borderId="3" xfId="18" applyFont="1" applyBorder="1" applyAlignment="1">
      <alignment horizontal="center" vertical="center"/>
    </xf>
    <xf numFmtId="43" fontId="1" fillId="0" borderId="4" xfId="18" applyFont="1" applyBorder="1" applyAlignment="1">
      <alignment horizontal="center" vertical="center"/>
    </xf>
    <xf numFmtId="43" fontId="1" fillId="0" borderId="0" xfId="18" applyFont="1" applyBorder="1" applyAlignment="1">
      <alignment horizontal="center" vertical="center" wrapText="1"/>
    </xf>
    <xf numFmtId="43" fontId="1" fillId="0" borderId="0" xfId="18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1" fillId="0" borderId="1" xfId="18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0</xdr:col>
      <xdr:colOff>857250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0</xdr:col>
      <xdr:colOff>771525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D17" sqref="D17"/>
    </sheetView>
  </sheetViews>
  <sheetFormatPr defaultColWidth="9.140625" defaultRowHeight="13.5" customHeight="1"/>
  <cols>
    <col min="1" max="1" width="16.57421875" style="51" customWidth="1"/>
    <col min="2" max="2" width="18.7109375" style="34" customWidth="1"/>
    <col min="3" max="4" width="6.421875" style="27" customWidth="1"/>
    <col min="5" max="5" width="21.7109375" style="27" bestFit="1" customWidth="1"/>
    <col min="6" max="6" width="20.57421875" style="27" customWidth="1"/>
    <col min="7" max="16384" width="9.140625" style="27" customWidth="1"/>
  </cols>
  <sheetData>
    <row r="1" spans="1:8" ht="21" customHeight="1">
      <c r="A1"/>
      <c r="B1" s="61" t="s">
        <v>183</v>
      </c>
      <c r="C1" s="61"/>
      <c r="D1" s="61"/>
      <c r="E1" s="61"/>
      <c r="F1" s="61"/>
      <c r="G1" s="42"/>
      <c r="H1" s="42"/>
    </row>
    <row r="2" spans="1:8" ht="23.25" customHeight="1">
      <c r="A2"/>
      <c r="B2" s="61" t="s">
        <v>184</v>
      </c>
      <c r="C2" s="61"/>
      <c r="D2" s="61"/>
      <c r="E2" s="61"/>
      <c r="F2" s="61"/>
      <c r="G2" s="42"/>
      <c r="H2" s="42"/>
    </row>
    <row r="3" spans="1:8" ht="18.75" customHeight="1">
      <c r="A3"/>
      <c r="B3" s="42"/>
      <c r="C3" s="42"/>
      <c r="D3" s="42"/>
      <c r="E3" s="42"/>
      <c r="F3" s="42"/>
      <c r="G3" s="42"/>
      <c r="H3" s="42"/>
    </row>
    <row r="4" spans="1:6" ht="31.5" customHeight="1">
      <c r="A4" s="59" t="s">
        <v>73</v>
      </c>
      <c r="B4" s="60"/>
      <c r="C4" s="60"/>
      <c r="D4" s="60"/>
      <c r="E4" s="60"/>
      <c r="F4" s="60"/>
    </row>
    <row r="5" spans="1:2" s="37" customFormat="1" ht="14.25" customHeight="1">
      <c r="A5" s="55"/>
      <c r="B5" s="55"/>
    </row>
    <row r="6" spans="1:6" ht="13.5" customHeight="1">
      <c r="A6" s="62" t="s">
        <v>70</v>
      </c>
      <c r="B6" s="62"/>
      <c r="E6" s="58" t="s">
        <v>71</v>
      </c>
      <c r="F6" s="58"/>
    </row>
    <row r="7" spans="1:7" ht="13.5" customHeight="1">
      <c r="A7" s="33" t="s">
        <v>7</v>
      </c>
      <c r="B7" s="53" t="s">
        <v>68</v>
      </c>
      <c r="E7" s="33" t="s">
        <v>69</v>
      </c>
      <c r="F7" s="36" t="s">
        <v>68</v>
      </c>
      <c r="G7" s="37"/>
    </row>
    <row r="8" spans="1:7" ht="13.5" customHeight="1">
      <c r="A8" s="22">
        <v>1</v>
      </c>
      <c r="B8" s="38">
        <f>294.12</f>
        <v>294.12</v>
      </c>
      <c r="C8" s="28"/>
      <c r="E8" s="22" t="s">
        <v>11</v>
      </c>
      <c r="F8" s="23">
        <v>775.92</v>
      </c>
      <c r="G8" s="37"/>
    </row>
    <row r="9" spans="1:6" ht="13.5" customHeight="1">
      <c r="A9" s="22">
        <v>2</v>
      </c>
      <c r="B9" s="38">
        <f>B8*1.02</f>
        <v>300.0024</v>
      </c>
      <c r="E9" s="22" t="s">
        <v>12</v>
      </c>
      <c r="F9" s="23">
        <v>554.38</v>
      </c>
    </row>
    <row r="10" spans="1:6" ht="13.5" customHeight="1">
      <c r="A10" s="22">
        <v>3</v>
      </c>
      <c r="B10" s="38">
        <f aca="true" t="shared" si="0" ref="B10:B44">B9*1.02</f>
        <v>306.002448</v>
      </c>
      <c r="E10" s="22" t="s">
        <v>13</v>
      </c>
      <c r="F10" s="23">
        <v>829.98</v>
      </c>
    </row>
    <row r="11" spans="1:6" ht="13.5" customHeight="1">
      <c r="A11" s="22">
        <v>4</v>
      </c>
      <c r="B11" s="38">
        <f t="shared" si="0"/>
        <v>312.12249696000003</v>
      </c>
      <c r="E11" s="22" t="s">
        <v>14</v>
      </c>
      <c r="F11" s="23">
        <v>357.22</v>
      </c>
    </row>
    <row r="12" spans="1:6" ht="13.5" customHeight="1">
      <c r="A12" s="22">
        <v>5</v>
      </c>
      <c r="B12" s="38">
        <f t="shared" si="0"/>
        <v>318.36494689920005</v>
      </c>
      <c r="E12" s="22" t="s">
        <v>15</v>
      </c>
      <c r="F12" s="23">
        <v>481.24</v>
      </c>
    </row>
    <row r="13" spans="1:6" ht="13.5" customHeight="1">
      <c r="A13" s="22">
        <v>6</v>
      </c>
      <c r="B13" s="38">
        <f t="shared" si="0"/>
        <v>324.73224583718405</v>
      </c>
      <c r="E13" s="22" t="s">
        <v>16</v>
      </c>
      <c r="F13" s="23">
        <v>457.68</v>
      </c>
    </row>
    <row r="14" spans="1:6" ht="13.5" customHeight="1">
      <c r="A14" s="22">
        <v>7</v>
      </c>
      <c r="B14" s="38">
        <f t="shared" si="0"/>
        <v>331.22689075392776</v>
      </c>
      <c r="E14" s="22" t="s">
        <v>17</v>
      </c>
      <c r="F14" s="23">
        <v>578.76</v>
      </c>
    </row>
    <row r="15" spans="1:6" ht="13.5" customHeight="1">
      <c r="A15" s="22">
        <v>8</v>
      </c>
      <c r="B15" s="38">
        <f t="shared" si="0"/>
        <v>337.8514285690063</v>
      </c>
      <c r="E15" s="22" t="s">
        <v>18</v>
      </c>
      <c r="F15" s="23">
        <v>775.92</v>
      </c>
    </row>
    <row r="16" spans="1:6" ht="13.5" customHeight="1">
      <c r="A16" s="22">
        <v>9</v>
      </c>
      <c r="B16" s="38">
        <f t="shared" si="0"/>
        <v>344.60845714038646</v>
      </c>
      <c r="E16" s="22" t="s">
        <v>19</v>
      </c>
      <c r="F16" s="23">
        <v>6.07</v>
      </c>
    </row>
    <row r="17" spans="1:6" ht="13.5" customHeight="1">
      <c r="A17" s="22">
        <v>10</v>
      </c>
      <c r="B17" s="38">
        <f t="shared" si="0"/>
        <v>351.5006262831942</v>
      </c>
      <c r="E17" s="22" t="s">
        <v>20</v>
      </c>
      <c r="F17" s="23">
        <v>245.92</v>
      </c>
    </row>
    <row r="18" spans="1:2" ht="13.5" customHeight="1">
      <c r="A18" s="22">
        <v>11</v>
      </c>
      <c r="B18" s="38">
        <f t="shared" si="0"/>
        <v>358.5306388088581</v>
      </c>
    </row>
    <row r="19" spans="1:2" ht="13.5" customHeight="1">
      <c r="A19" s="22">
        <v>12</v>
      </c>
      <c r="B19" s="38">
        <f t="shared" si="0"/>
        <v>365.70125158503527</v>
      </c>
    </row>
    <row r="20" spans="1:2" ht="13.5" customHeight="1">
      <c r="A20" s="22">
        <v>13</v>
      </c>
      <c r="B20" s="38">
        <f t="shared" si="0"/>
        <v>373.015276616736</v>
      </c>
    </row>
    <row r="21" spans="1:2" ht="13.5" customHeight="1">
      <c r="A21" s="22">
        <v>14</v>
      </c>
      <c r="B21" s="38">
        <f t="shared" si="0"/>
        <v>380.4755821490707</v>
      </c>
    </row>
    <row r="22" spans="1:6" ht="13.5" customHeight="1">
      <c r="A22" s="22">
        <v>15</v>
      </c>
      <c r="B22" s="38">
        <f t="shared" si="0"/>
        <v>388.08509379205213</v>
      </c>
      <c r="E22" s="51"/>
      <c r="F22" s="34"/>
    </row>
    <row r="23" spans="1:6" ht="13.5" customHeight="1">
      <c r="A23" s="22">
        <v>16</v>
      </c>
      <c r="B23" s="38">
        <f t="shared" si="0"/>
        <v>395.84679566789316</v>
      </c>
      <c r="E23" s="56" t="s">
        <v>67</v>
      </c>
      <c r="F23" s="57"/>
    </row>
    <row r="24" spans="1:6" ht="13.5" customHeight="1">
      <c r="A24" s="22">
        <v>17</v>
      </c>
      <c r="B24" s="38">
        <f t="shared" si="0"/>
        <v>403.763731581251</v>
      </c>
      <c r="E24" s="33" t="s">
        <v>7</v>
      </c>
      <c r="F24" s="53" t="s">
        <v>68</v>
      </c>
    </row>
    <row r="25" spans="1:6" ht="13.5" customHeight="1">
      <c r="A25" s="22">
        <v>18</v>
      </c>
      <c r="B25" s="38">
        <f t="shared" si="0"/>
        <v>411.83900621287603</v>
      </c>
      <c r="E25" s="22">
        <v>901</v>
      </c>
      <c r="F25" s="49">
        <v>388.46</v>
      </c>
    </row>
    <row r="26" spans="1:6" ht="13.5" customHeight="1">
      <c r="A26" s="22">
        <v>19</v>
      </c>
      <c r="B26" s="38">
        <f t="shared" si="0"/>
        <v>420.07578633713354</v>
      </c>
      <c r="E26" s="22">
        <v>902</v>
      </c>
      <c r="F26" s="49">
        <v>473.92</v>
      </c>
    </row>
    <row r="27" spans="1:6" ht="13.5" customHeight="1">
      <c r="A27" s="22">
        <v>20</v>
      </c>
      <c r="B27" s="38">
        <f t="shared" si="0"/>
        <v>428.4773020638762</v>
      </c>
      <c r="E27" s="22">
        <v>903</v>
      </c>
      <c r="F27" s="49">
        <v>578.17</v>
      </c>
    </row>
    <row r="28" spans="1:6" ht="13.5" customHeight="1">
      <c r="A28" s="22">
        <v>21</v>
      </c>
      <c r="B28" s="38">
        <f t="shared" si="0"/>
        <v>437.04684810515374</v>
      </c>
      <c r="E28" s="22">
        <v>904</v>
      </c>
      <c r="F28" s="49">
        <v>705.35</v>
      </c>
    </row>
    <row r="29" spans="1:6" ht="13.5" customHeight="1">
      <c r="A29" s="22">
        <v>22</v>
      </c>
      <c r="B29" s="38">
        <f t="shared" si="0"/>
        <v>445.78778506725683</v>
      </c>
      <c r="E29" s="22">
        <v>905</v>
      </c>
      <c r="F29" s="49">
        <v>860.51</v>
      </c>
    </row>
    <row r="30" spans="1:6" ht="13.5" customHeight="1">
      <c r="A30" s="22">
        <v>23</v>
      </c>
      <c r="B30" s="38">
        <f t="shared" si="0"/>
        <v>454.70354076860195</v>
      </c>
      <c r="E30" s="22">
        <v>906</v>
      </c>
      <c r="F30" s="49">
        <v>1049.84</v>
      </c>
    </row>
    <row r="31" spans="1:6" ht="13.5" customHeight="1">
      <c r="A31" s="22">
        <v>24</v>
      </c>
      <c r="B31" s="38">
        <f t="shared" si="0"/>
        <v>463.797611583974</v>
      </c>
      <c r="E31" s="52"/>
      <c r="F31" s="54"/>
    </row>
    <row r="32" spans="1:2" ht="13.5" customHeight="1">
      <c r="A32" s="22">
        <v>25</v>
      </c>
      <c r="B32" s="38">
        <f t="shared" si="0"/>
        <v>473.0735638156535</v>
      </c>
    </row>
    <row r="33" spans="1:2" ht="13.5" customHeight="1">
      <c r="A33" s="22">
        <v>26</v>
      </c>
      <c r="B33" s="38">
        <f t="shared" si="0"/>
        <v>482.53503509196656</v>
      </c>
    </row>
    <row r="34" spans="1:6" ht="13.5" customHeight="1">
      <c r="A34" s="22">
        <v>27</v>
      </c>
      <c r="B34" s="38">
        <f t="shared" si="0"/>
        <v>492.1857357938059</v>
      </c>
      <c r="E34" s="56" t="s">
        <v>72</v>
      </c>
      <c r="F34" s="57"/>
    </row>
    <row r="35" spans="1:6" ht="13.5" customHeight="1">
      <c r="A35" s="22">
        <v>28</v>
      </c>
      <c r="B35" s="38">
        <f t="shared" si="0"/>
        <v>502.029450509682</v>
      </c>
      <c r="E35" s="33" t="s">
        <v>7</v>
      </c>
      <c r="F35" s="53" t="s">
        <v>68</v>
      </c>
    </row>
    <row r="36" spans="1:6" ht="13.5" customHeight="1">
      <c r="A36" s="22">
        <v>29</v>
      </c>
      <c r="B36" s="38">
        <f t="shared" si="0"/>
        <v>512.0700395198756</v>
      </c>
      <c r="E36" s="22">
        <v>801</v>
      </c>
      <c r="F36" s="49">
        <v>221.14</v>
      </c>
    </row>
    <row r="37" spans="1:6" ht="13.5" customHeight="1">
      <c r="A37" s="22">
        <v>30</v>
      </c>
      <c r="B37" s="38">
        <f t="shared" si="0"/>
        <v>522.3114403102732</v>
      </c>
      <c r="E37" s="22">
        <v>802</v>
      </c>
      <c r="F37" s="49">
        <v>265.37</v>
      </c>
    </row>
    <row r="38" spans="1:6" ht="13.5" customHeight="1">
      <c r="A38" s="22">
        <v>31</v>
      </c>
      <c r="B38" s="38">
        <f t="shared" si="0"/>
        <v>532.7576691164786</v>
      </c>
      <c r="E38" s="22">
        <v>803</v>
      </c>
      <c r="F38" s="49">
        <v>530.75</v>
      </c>
    </row>
    <row r="39" spans="1:6" ht="13.5" customHeight="1">
      <c r="A39" s="22">
        <v>32</v>
      </c>
      <c r="B39" s="38">
        <f t="shared" si="0"/>
        <v>543.4128224988082</v>
      </c>
      <c r="E39" s="22">
        <v>804</v>
      </c>
      <c r="F39" s="49">
        <v>1149.97</v>
      </c>
    </row>
    <row r="40" spans="1:6" ht="13.5" customHeight="1">
      <c r="A40" s="22">
        <v>33</v>
      </c>
      <c r="B40" s="38">
        <f t="shared" si="0"/>
        <v>554.2810789487844</v>
      </c>
      <c r="E40" s="22">
        <v>805</v>
      </c>
      <c r="F40" s="49">
        <v>1769.2</v>
      </c>
    </row>
    <row r="41" spans="1:6" ht="13.5" customHeight="1">
      <c r="A41" s="22">
        <v>34</v>
      </c>
      <c r="B41" s="38">
        <f t="shared" si="0"/>
        <v>565.3667005277601</v>
      </c>
      <c r="E41" s="51"/>
      <c r="F41" s="34"/>
    </row>
    <row r="42" spans="1:6" ht="13.5" customHeight="1">
      <c r="A42" s="22">
        <v>35</v>
      </c>
      <c r="B42" s="38">
        <f t="shared" si="0"/>
        <v>576.6740345383154</v>
      </c>
      <c r="E42" s="51"/>
      <c r="F42" s="34"/>
    </row>
    <row r="43" spans="1:2" ht="13.5" customHeight="1">
      <c r="A43" s="22">
        <v>36</v>
      </c>
      <c r="B43" s="38">
        <f t="shared" si="0"/>
        <v>588.2075152290817</v>
      </c>
    </row>
    <row r="44" spans="1:2" ht="13.5" customHeight="1">
      <c r="A44" s="22">
        <v>37</v>
      </c>
      <c r="B44" s="38">
        <f t="shared" si="0"/>
        <v>599.9716655336633</v>
      </c>
    </row>
    <row r="45" spans="1:2" ht="13.5" customHeight="1">
      <c r="A45" s="22">
        <v>38</v>
      </c>
      <c r="B45" s="38">
        <v>620.07</v>
      </c>
    </row>
    <row r="46" spans="1:2" ht="13.5" customHeight="1">
      <c r="A46" s="22">
        <v>39</v>
      </c>
      <c r="B46" s="38">
        <v>644.88</v>
      </c>
    </row>
    <row r="47" spans="1:2" ht="13.5" customHeight="1">
      <c r="A47" s="22">
        <v>40</v>
      </c>
      <c r="B47" s="38">
        <v>670.67</v>
      </c>
    </row>
    <row r="48" spans="1:2" ht="13.5" customHeight="1">
      <c r="A48" s="22">
        <v>41</v>
      </c>
      <c r="B48" s="38">
        <v>697.49</v>
      </c>
    </row>
    <row r="49" spans="1:2" ht="13.5" customHeight="1">
      <c r="A49" s="22">
        <v>42</v>
      </c>
      <c r="B49" s="38">
        <v>725.38</v>
      </c>
    </row>
    <row r="50" spans="1:2" ht="13.5" customHeight="1">
      <c r="A50" s="22">
        <v>43</v>
      </c>
      <c r="B50" s="38">
        <v>754.39</v>
      </c>
    </row>
    <row r="51" spans="1:2" ht="13.5" customHeight="1">
      <c r="A51" s="22">
        <v>44</v>
      </c>
      <c r="B51" s="38">
        <v>784.56</v>
      </c>
    </row>
    <row r="52" spans="1:2" ht="13.5" customHeight="1">
      <c r="A52" s="22">
        <v>45</v>
      </c>
      <c r="B52" s="38">
        <v>815.95</v>
      </c>
    </row>
    <row r="53" spans="1:2" ht="13.5" customHeight="1">
      <c r="A53" s="22">
        <v>46</v>
      </c>
      <c r="B53" s="38">
        <v>848.59</v>
      </c>
    </row>
    <row r="54" s="37" customFormat="1" ht="13.5" customHeight="1"/>
    <row r="55" s="37" customFormat="1" ht="13.5" customHeight="1"/>
    <row r="56" spans="1:2" ht="13.5" customHeight="1">
      <c r="A56" s="27"/>
      <c r="B56" s="27"/>
    </row>
    <row r="57" spans="1:2" ht="13.5" customHeight="1">
      <c r="A57" s="27"/>
      <c r="B57" s="27"/>
    </row>
    <row r="58" spans="1:2" ht="13.5" customHeight="1">
      <c r="A58" s="27"/>
      <c r="B58" s="27"/>
    </row>
    <row r="59" spans="1:2" ht="13.5" customHeight="1">
      <c r="A59" s="27"/>
      <c r="B59" s="27"/>
    </row>
    <row r="60" spans="1:2" ht="13.5" customHeight="1">
      <c r="A60" s="27"/>
      <c r="B60" s="27"/>
    </row>
    <row r="61" spans="1:2" ht="13.5" customHeight="1">
      <c r="A61" s="27"/>
      <c r="B61" s="27"/>
    </row>
    <row r="62" spans="1:2" ht="13.5" customHeight="1">
      <c r="A62" s="27"/>
      <c r="B62" s="27"/>
    </row>
    <row r="63" spans="1:2" ht="13.5" customHeight="1">
      <c r="A63" s="27"/>
      <c r="B63" s="27"/>
    </row>
    <row r="64" spans="1:2" ht="13.5" customHeight="1">
      <c r="A64" s="27"/>
      <c r="B64" s="27"/>
    </row>
    <row r="65" spans="1:2" ht="13.5" customHeight="1">
      <c r="A65" s="27"/>
      <c r="B65" s="27"/>
    </row>
    <row r="66" spans="1:2" ht="13.5" customHeight="1">
      <c r="A66" s="27"/>
      <c r="B66" s="27"/>
    </row>
    <row r="68" spans="1:2" ht="13.5" customHeight="1">
      <c r="A68" s="27"/>
      <c r="B68" s="27"/>
    </row>
    <row r="69" spans="1:2" ht="13.5" customHeight="1">
      <c r="A69" s="27"/>
      <c r="B69" s="27"/>
    </row>
    <row r="70" spans="1:2" ht="13.5" customHeight="1">
      <c r="A70" s="27"/>
      <c r="B70" s="27"/>
    </row>
    <row r="71" spans="1:2" ht="13.5" customHeight="1">
      <c r="A71" s="27"/>
      <c r="B71" s="27"/>
    </row>
    <row r="72" spans="1:2" ht="13.5" customHeight="1">
      <c r="A72" s="27"/>
      <c r="B72" s="27"/>
    </row>
    <row r="73" spans="1:2" ht="13.5" customHeight="1">
      <c r="A73" s="27"/>
      <c r="B73" s="27"/>
    </row>
    <row r="74" spans="1:2" ht="13.5" customHeight="1">
      <c r="A74" s="27"/>
      <c r="B74" s="27"/>
    </row>
    <row r="75" spans="1:2" ht="13.5" customHeight="1">
      <c r="A75" s="27"/>
      <c r="B75" s="27"/>
    </row>
    <row r="76" spans="1:2" ht="13.5" customHeight="1">
      <c r="A76" s="27"/>
      <c r="B76" s="27"/>
    </row>
    <row r="77" spans="1:10" ht="13.5" customHeight="1">
      <c r="A77" s="27"/>
      <c r="B77" s="27"/>
      <c r="E77"/>
      <c r="F77"/>
      <c r="G77"/>
      <c r="H77"/>
      <c r="I77"/>
      <c r="J77"/>
    </row>
    <row r="78" spans="1:10" ht="13.5" customHeight="1">
      <c r="A78" s="27"/>
      <c r="B78" s="27"/>
      <c r="E78"/>
      <c r="F78"/>
      <c r="G78"/>
      <c r="H78"/>
      <c r="I78"/>
      <c r="J78"/>
    </row>
    <row r="79" spans="1:10" ht="13.5" customHeight="1">
      <c r="A79" s="27"/>
      <c r="B79" s="27"/>
      <c r="E79"/>
      <c r="F79"/>
      <c r="G79"/>
      <c r="H79"/>
      <c r="I79"/>
      <c r="J79"/>
    </row>
    <row r="80" spans="1:10" ht="13.5" customHeight="1">
      <c r="A80" s="27"/>
      <c r="B80" s="27"/>
      <c r="E80"/>
      <c r="F80"/>
      <c r="G80"/>
      <c r="H80"/>
      <c r="I80"/>
      <c r="J80"/>
    </row>
    <row r="81" spans="1:10" ht="13.5" customHeight="1">
      <c r="A81" s="27"/>
      <c r="B81" s="27"/>
      <c r="E81"/>
      <c r="F81"/>
      <c r="G81"/>
      <c r="H81"/>
      <c r="I81"/>
      <c r="J81"/>
    </row>
    <row r="82" spans="1:2" ht="13.5" customHeight="1">
      <c r="A82" s="27"/>
      <c r="B82" s="27"/>
    </row>
    <row r="83" spans="1:2" ht="13.5" customHeight="1">
      <c r="A83" s="27"/>
      <c r="B83" s="27"/>
    </row>
    <row r="84" spans="1:2" ht="13.5" customHeight="1">
      <c r="A84" s="27"/>
      <c r="B84" s="27"/>
    </row>
  </sheetData>
  <mergeCells count="7">
    <mergeCell ref="B1:F1"/>
    <mergeCell ref="B2:F2"/>
    <mergeCell ref="A6:B6"/>
    <mergeCell ref="E34:F34"/>
    <mergeCell ref="E23:F23"/>
    <mergeCell ref="E6:F6"/>
    <mergeCell ref="A4:F4"/>
  </mergeCells>
  <printOptions horizontalCentered="1"/>
  <pageMargins left="0.5118110236220472" right="0.5905511811023623" top="0.5511811023622047" bottom="0.49" header="0.4724409448818898" footer="0.2362204724409449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B39">
      <selection activeCell="J40" sqref="J40"/>
    </sheetView>
  </sheetViews>
  <sheetFormatPr defaultColWidth="9.140625" defaultRowHeight="16.5" customHeight="1"/>
  <cols>
    <col min="1" max="1" width="11.140625" style="27" bestFit="1" customWidth="1"/>
    <col min="2" max="2" width="22.140625" style="51" bestFit="1" customWidth="1"/>
    <col min="3" max="3" width="11.421875" style="27" customWidth="1"/>
    <col min="4" max="4" width="12.140625" style="27" customWidth="1"/>
    <col min="5" max="5" width="7.7109375" style="27" bestFit="1" customWidth="1"/>
    <col min="6" max="6" width="8.7109375" style="27" bestFit="1" customWidth="1"/>
    <col min="7" max="7" width="12.57421875" style="27" customWidth="1"/>
    <col min="8" max="16384" width="9.140625" style="27" customWidth="1"/>
  </cols>
  <sheetData>
    <row r="1" spans="2:8" ht="16.5" customHeight="1">
      <c r="B1" s="44" t="s">
        <v>1</v>
      </c>
      <c r="C1" s="45">
        <v>2</v>
      </c>
      <c r="D1" s="46" t="s">
        <v>2</v>
      </c>
      <c r="E1" s="47">
        <v>2</v>
      </c>
      <c r="G1" s="46" t="s">
        <v>3</v>
      </c>
      <c r="H1" s="47">
        <v>2</v>
      </c>
    </row>
    <row r="2" spans="1:6" ht="16.5" customHeight="1">
      <c r="A2" s="63" t="s">
        <v>4</v>
      </c>
      <c r="B2" s="63"/>
      <c r="C2" s="63"/>
      <c r="D2" s="63" t="s">
        <v>5</v>
      </c>
      <c r="E2" s="63"/>
      <c r="F2" s="63"/>
    </row>
    <row r="3" spans="1:6" ht="16.5" customHeight="1">
      <c r="A3" s="48" t="s">
        <v>6</v>
      </c>
      <c r="B3" s="33" t="s">
        <v>7</v>
      </c>
      <c r="C3" s="48" t="s">
        <v>6</v>
      </c>
      <c r="D3" s="33" t="s">
        <v>8</v>
      </c>
      <c r="E3" s="33" t="s">
        <v>9</v>
      </c>
      <c r="F3" s="33" t="s">
        <v>10</v>
      </c>
    </row>
    <row r="4" spans="1:8" ht="16.5" customHeight="1">
      <c r="A4" s="38">
        <v>145.4</v>
      </c>
      <c r="B4" s="22">
        <v>1</v>
      </c>
      <c r="C4" s="38">
        <v>145.4</v>
      </c>
      <c r="D4" s="38">
        <v>300</v>
      </c>
      <c r="E4" s="25">
        <f aca="true" t="shared" si="0" ref="E4:E49">((D4-C4)*100)/C4</f>
        <v>106.32737276478679</v>
      </c>
      <c r="F4" s="25">
        <f aca="true" t="shared" si="1" ref="F4:F49">D4-C4</f>
        <v>154.6</v>
      </c>
      <c r="G4" s="28">
        <v>100</v>
      </c>
      <c r="H4" s="28">
        <v>100</v>
      </c>
    </row>
    <row r="5" spans="1:8" ht="16.5" customHeight="1">
      <c r="A5" s="38">
        <v>151.23</v>
      </c>
      <c r="B5" s="22">
        <v>2</v>
      </c>
      <c r="C5" s="38">
        <v>151.23</v>
      </c>
      <c r="D5" s="38">
        <f aca="true" t="shared" si="2" ref="D5:D49">ROUNDDOWN(IF((((D4*(1+($C$1/100)))-C5)*100)/C5&lt;$E$1,C5*(1+($E$1/100)),D4*(1+($C$1/100))),2)</f>
        <v>306</v>
      </c>
      <c r="E5" s="25">
        <f t="shared" si="0"/>
        <v>102.34080539575483</v>
      </c>
      <c r="F5" s="25">
        <f t="shared" si="1"/>
        <v>154.77</v>
      </c>
      <c r="G5" s="28">
        <f aca="true" t="shared" si="3" ref="G5:G49">$C5/$C4*$G$4-100</f>
        <v>4.009628610729024</v>
      </c>
      <c r="H5" s="28">
        <f aca="true" t="shared" si="4" ref="H5:H49">$D5/$D4*$H$4-100</f>
        <v>2</v>
      </c>
    </row>
    <row r="6" spans="1:8" ht="16.5" customHeight="1">
      <c r="A6" s="38">
        <v>157.27</v>
      </c>
      <c r="B6" s="22">
        <v>3</v>
      </c>
      <c r="C6" s="38">
        <v>157.27</v>
      </c>
      <c r="D6" s="38">
        <f t="shared" si="2"/>
        <v>312.12</v>
      </c>
      <c r="E6" s="25">
        <f t="shared" si="0"/>
        <v>98.46124499268772</v>
      </c>
      <c r="F6" s="25">
        <f t="shared" si="1"/>
        <v>154.85</v>
      </c>
      <c r="G6" s="28">
        <f t="shared" si="3"/>
        <v>3.993916550948896</v>
      </c>
      <c r="H6" s="28">
        <f t="shared" si="4"/>
        <v>2</v>
      </c>
    </row>
    <row r="7" spans="1:8" ht="16.5" customHeight="1">
      <c r="A7" s="38">
        <v>163.55</v>
      </c>
      <c r="B7" s="22">
        <v>4</v>
      </c>
      <c r="C7" s="38">
        <v>163.55</v>
      </c>
      <c r="D7" s="38">
        <f t="shared" si="2"/>
        <v>318.36</v>
      </c>
      <c r="E7" s="25">
        <f t="shared" si="0"/>
        <v>94.65606848058697</v>
      </c>
      <c r="F7" s="25">
        <f t="shared" si="1"/>
        <v>154.81</v>
      </c>
      <c r="G7" s="28">
        <f t="shared" si="3"/>
        <v>3.993132828892996</v>
      </c>
      <c r="H7" s="28">
        <f t="shared" si="4"/>
        <v>1.999231064975021</v>
      </c>
    </row>
    <row r="8" spans="1:8" ht="16.5" customHeight="1">
      <c r="A8" s="38">
        <v>170.08</v>
      </c>
      <c r="B8" s="22">
        <v>5</v>
      </c>
      <c r="C8" s="38">
        <v>170.08</v>
      </c>
      <c r="D8" s="38">
        <f t="shared" si="2"/>
        <v>324.72</v>
      </c>
      <c r="E8" s="25">
        <f t="shared" si="0"/>
        <v>90.92191909689558</v>
      </c>
      <c r="F8" s="25">
        <f t="shared" si="1"/>
        <v>154.64000000000001</v>
      </c>
      <c r="G8" s="28">
        <f t="shared" si="3"/>
        <v>3.9926627942525243</v>
      </c>
      <c r="H8" s="28">
        <f t="shared" si="4"/>
        <v>1.9977384093479174</v>
      </c>
    </row>
    <row r="9" spans="1:8" ht="16.5" customHeight="1">
      <c r="A9" s="38">
        <v>176.88</v>
      </c>
      <c r="B9" s="22">
        <v>6</v>
      </c>
      <c r="C9" s="38">
        <v>176.88</v>
      </c>
      <c r="D9" s="38">
        <f t="shared" si="2"/>
        <v>331.21</v>
      </c>
      <c r="E9" s="25">
        <f t="shared" si="0"/>
        <v>87.25124378109452</v>
      </c>
      <c r="F9" s="25">
        <f t="shared" si="1"/>
        <v>154.32999999999998</v>
      </c>
      <c r="G9" s="28">
        <f t="shared" si="3"/>
        <v>3.998118532455308</v>
      </c>
      <c r="H9" s="28">
        <f t="shared" si="4"/>
        <v>1.998644986449861</v>
      </c>
    </row>
    <row r="10" spans="1:8" ht="16.5" customHeight="1">
      <c r="A10" s="38">
        <v>183.96</v>
      </c>
      <c r="B10" s="22">
        <v>7</v>
      </c>
      <c r="C10" s="38">
        <v>183.96</v>
      </c>
      <c r="D10" s="38">
        <f t="shared" si="2"/>
        <v>337.83</v>
      </c>
      <c r="E10" s="25">
        <f t="shared" si="0"/>
        <v>83.64318330071754</v>
      </c>
      <c r="F10" s="25">
        <f t="shared" si="1"/>
        <v>153.86999999999998</v>
      </c>
      <c r="G10" s="28">
        <f t="shared" si="3"/>
        <v>4.0027137042062435</v>
      </c>
      <c r="H10" s="28">
        <f t="shared" si="4"/>
        <v>1.9987319223453426</v>
      </c>
    </row>
    <row r="11" spans="1:8" ht="16.5" customHeight="1">
      <c r="A11" s="38">
        <v>191.31</v>
      </c>
      <c r="B11" s="22">
        <v>8</v>
      </c>
      <c r="C11" s="38">
        <v>191.31</v>
      </c>
      <c r="D11" s="38">
        <f t="shared" si="2"/>
        <v>344.58</v>
      </c>
      <c r="E11" s="25">
        <f t="shared" si="0"/>
        <v>80.11604202603104</v>
      </c>
      <c r="F11" s="25">
        <f t="shared" si="1"/>
        <v>153.26999999999998</v>
      </c>
      <c r="G11" s="28">
        <f t="shared" si="3"/>
        <v>3.9954337899543333</v>
      </c>
      <c r="H11" s="28">
        <f t="shared" si="4"/>
        <v>1.9980463546754237</v>
      </c>
    </row>
    <row r="12" spans="1:8" ht="16.5" customHeight="1">
      <c r="A12" s="38">
        <v>198.94</v>
      </c>
      <c r="B12" s="22">
        <v>9</v>
      </c>
      <c r="C12" s="38">
        <v>198.94</v>
      </c>
      <c r="D12" s="38">
        <f t="shared" si="2"/>
        <v>351.47</v>
      </c>
      <c r="E12" s="25">
        <f t="shared" si="0"/>
        <v>76.67135819845181</v>
      </c>
      <c r="F12" s="25">
        <f t="shared" si="1"/>
        <v>152.53000000000003</v>
      </c>
      <c r="G12" s="28">
        <f t="shared" si="3"/>
        <v>3.9882912550311005</v>
      </c>
      <c r="H12" s="28">
        <f t="shared" si="4"/>
        <v>1.9995356666086366</v>
      </c>
    </row>
    <row r="13" spans="1:8" ht="16.5" customHeight="1">
      <c r="A13" s="38">
        <v>206.91</v>
      </c>
      <c r="B13" s="22">
        <v>10</v>
      </c>
      <c r="C13" s="38">
        <v>206.91</v>
      </c>
      <c r="D13" s="38">
        <f t="shared" si="2"/>
        <v>358.49</v>
      </c>
      <c r="E13" s="25">
        <f t="shared" si="0"/>
        <v>73.25890483785221</v>
      </c>
      <c r="F13" s="25">
        <f t="shared" si="1"/>
        <v>151.58</v>
      </c>
      <c r="G13" s="28">
        <f t="shared" si="3"/>
        <v>4.006233035085955</v>
      </c>
      <c r="H13" s="28">
        <f t="shared" si="4"/>
        <v>1.9973255185364138</v>
      </c>
    </row>
    <row r="14" spans="1:8" ht="16.5" customHeight="1">
      <c r="A14" s="38">
        <v>215.18</v>
      </c>
      <c r="B14" s="22">
        <v>11</v>
      </c>
      <c r="C14" s="38">
        <v>215.18</v>
      </c>
      <c r="D14" s="38">
        <f t="shared" si="2"/>
        <v>365.65</v>
      </c>
      <c r="E14" s="25">
        <f t="shared" si="0"/>
        <v>69.92750255599961</v>
      </c>
      <c r="F14" s="25">
        <f t="shared" si="1"/>
        <v>150.46999999999997</v>
      </c>
      <c r="G14" s="28">
        <f t="shared" si="3"/>
        <v>3.99690686772027</v>
      </c>
      <c r="H14" s="28">
        <f t="shared" si="4"/>
        <v>1.9972663114731262</v>
      </c>
    </row>
    <row r="15" spans="1:8" ht="16.5" customHeight="1">
      <c r="A15" s="38">
        <v>223.79</v>
      </c>
      <c r="B15" s="22">
        <v>12</v>
      </c>
      <c r="C15" s="38">
        <v>223.79</v>
      </c>
      <c r="D15" s="38">
        <f t="shared" si="2"/>
        <v>372.96</v>
      </c>
      <c r="E15" s="25">
        <f t="shared" si="0"/>
        <v>66.65624022521114</v>
      </c>
      <c r="F15" s="25">
        <f t="shared" si="1"/>
        <v>149.17</v>
      </c>
      <c r="G15" s="28">
        <f t="shared" si="3"/>
        <v>4.001301236174342</v>
      </c>
      <c r="H15" s="28">
        <f t="shared" si="4"/>
        <v>1.9991795432790838</v>
      </c>
    </row>
    <row r="16" spans="1:8" ht="16.5" customHeight="1">
      <c r="A16" s="38">
        <v>232.71</v>
      </c>
      <c r="B16" s="22">
        <v>13</v>
      </c>
      <c r="C16" s="38">
        <v>232.71</v>
      </c>
      <c r="D16" s="38">
        <f t="shared" si="2"/>
        <v>380.41</v>
      </c>
      <c r="E16" s="25">
        <f t="shared" si="0"/>
        <v>63.46955438098922</v>
      </c>
      <c r="F16" s="25">
        <f t="shared" si="1"/>
        <v>147.70000000000002</v>
      </c>
      <c r="G16" s="28">
        <f t="shared" si="3"/>
        <v>3.9858796192859387</v>
      </c>
      <c r="H16" s="28">
        <f t="shared" si="4"/>
        <v>1.9975332475332692</v>
      </c>
    </row>
    <row r="17" spans="1:8" ht="16.5" customHeight="1">
      <c r="A17" s="38">
        <v>242.01</v>
      </c>
      <c r="B17" s="22">
        <v>14</v>
      </c>
      <c r="C17" s="38">
        <v>242.01</v>
      </c>
      <c r="D17" s="38">
        <f t="shared" si="2"/>
        <v>388.01</v>
      </c>
      <c r="E17" s="25">
        <f t="shared" si="0"/>
        <v>60.328085616296846</v>
      </c>
      <c r="F17" s="25">
        <f t="shared" si="1"/>
        <v>146</v>
      </c>
      <c r="G17" s="28">
        <f t="shared" si="3"/>
        <v>3.9963903570968</v>
      </c>
      <c r="H17" s="28">
        <f t="shared" si="4"/>
        <v>1.9978444310086303</v>
      </c>
    </row>
    <row r="18" spans="1:8" ht="16.5" customHeight="1">
      <c r="A18" s="38">
        <v>251.69</v>
      </c>
      <c r="B18" s="22">
        <v>15</v>
      </c>
      <c r="C18" s="38">
        <v>251.69</v>
      </c>
      <c r="D18" s="38">
        <f t="shared" si="2"/>
        <v>395.77</v>
      </c>
      <c r="E18" s="25">
        <f t="shared" si="0"/>
        <v>57.245023640192294</v>
      </c>
      <c r="F18" s="25">
        <f t="shared" si="1"/>
        <v>144.07999999999998</v>
      </c>
      <c r="G18" s="28">
        <f t="shared" si="3"/>
        <v>3.9998347175736626</v>
      </c>
      <c r="H18" s="28">
        <f t="shared" si="4"/>
        <v>1.999948454936714</v>
      </c>
    </row>
    <row r="19" spans="1:8" ht="16.5" customHeight="1">
      <c r="A19" s="38">
        <v>261.76</v>
      </c>
      <c r="B19" s="22">
        <v>16</v>
      </c>
      <c r="C19" s="38">
        <v>261.76</v>
      </c>
      <c r="D19" s="38">
        <f t="shared" si="2"/>
        <v>403.68</v>
      </c>
      <c r="E19" s="25">
        <f t="shared" si="0"/>
        <v>54.21760391198045</v>
      </c>
      <c r="F19" s="25">
        <f t="shared" si="1"/>
        <v>141.92000000000002</v>
      </c>
      <c r="G19" s="28">
        <f t="shared" si="3"/>
        <v>4.000953553975123</v>
      </c>
      <c r="H19" s="28">
        <f t="shared" si="4"/>
        <v>1.9986355711650816</v>
      </c>
    </row>
    <row r="20" spans="1:8" ht="16.5" customHeight="1">
      <c r="A20" s="38">
        <v>272.2</v>
      </c>
      <c r="B20" s="22">
        <v>17</v>
      </c>
      <c r="C20" s="38">
        <v>272.2</v>
      </c>
      <c r="D20" s="38">
        <f t="shared" si="2"/>
        <v>411.75</v>
      </c>
      <c r="E20" s="25">
        <f t="shared" si="0"/>
        <v>51.26745040411463</v>
      </c>
      <c r="F20" s="25">
        <f t="shared" si="1"/>
        <v>139.55</v>
      </c>
      <c r="G20" s="28">
        <f t="shared" si="3"/>
        <v>3.9883863080684563</v>
      </c>
      <c r="H20" s="28">
        <f t="shared" si="4"/>
        <v>1.9991082045184356</v>
      </c>
    </row>
    <row r="21" spans="1:8" ht="16.5" customHeight="1">
      <c r="A21" s="38">
        <v>283.09</v>
      </c>
      <c r="B21" s="22">
        <v>18</v>
      </c>
      <c r="C21" s="38">
        <v>283.09</v>
      </c>
      <c r="D21" s="38">
        <f t="shared" si="2"/>
        <v>419.98</v>
      </c>
      <c r="E21" s="25">
        <f t="shared" si="0"/>
        <v>48.35564661415099</v>
      </c>
      <c r="F21" s="25">
        <f t="shared" si="1"/>
        <v>136.89000000000004</v>
      </c>
      <c r="G21" s="28">
        <f t="shared" si="3"/>
        <v>4.000734753857444</v>
      </c>
      <c r="H21" s="28">
        <f t="shared" si="4"/>
        <v>1.9987856709168312</v>
      </c>
    </row>
    <row r="22" spans="1:8" ht="16.5" customHeight="1">
      <c r="A22" s="38">
        <v>294.42</v>
      </c>
      <c r="B22" s="22">
        <v>19</v>
      </c>
      <c r="C22" s="38">
        <v>294.42</v>
      </c>
      <c r="D22" s="38">
        <f t="shared" si="2"/>
        <v>428.37</v>
      </c>
      <c r="E22" s="25">
        <f t="shared" si="0"/>
        <v>45.49622987568778</v>
      </c>
      <c r="F22" s="25">
        <f t="shared" si="1"/>
        <v>133.95</v>
      </c>
      <c r="G22" s="28">
        <f t="shared" si="3"/>
        <v>4.002260765127701</v>
      </c>
      <c r="H22" s="28">
        <f t="shared" si="4"/>
        <v>1.997714176865557</v>
      </c>
    </row>
    <row r="23" spans="1:8" ht="16.5" customHeight="1">
      <c r="A23" s="38">
        <v>306.18</v>
      </c>
      <c r="B23" s="22">
        <v>20</v>
      </c>
      <c r="C23" s="38">
        <v>306.18</v>
      </c>
      <c r="D23" s="38">
        <f t="shared" si="2"/>
        <v>436.93</v>
      </c>
      <c r="E23" s="25">
        <f t="shared" si="0"/>
        <v>42.70363838265073</v>
      </c>
      <c r="F23" s="25">
        <f t="shared" si="1"/>
        <v>130.75</v>
      </c>
      <c r="G23" s="28">
        <f t="shared" si="3"/>
        <v>3.9942938659058456</v>
      </c>
      <c r="H23" s="28">
        <f t="shared" si="4"/>
        <v>1.9982725214184</v>
      </c>
    </row>
    <row r="24" spans="1:8" ht="16.5" customHeight="1">
      <c r="A24" s="38">
        <v>318.42</v>
      </c>
      <c r="B24" s="22">
        <v>21</v>
      </c>
      <c r="C24" s="38">
        <v>318.42</v>
      </c>
      <c r="D24" s="38">
        <f t="shared" si="2"/>
        <v>445.66</v>
      </c>
      <c r="E24" s="25">
        <f t="shared" si="0"/>
        <v>39.95980152000502</v>
      </c>
      <c r="F24" s="25">
        <f t="shared" si="1"/>
        <v>127.24000000000001</v>
      </c>
      <c r="G24" s="28">
        <f t="shared" si="3"/>
        <v>3.9976484420928955</v>
      </c>
      <c r="H24" s="28">
        <f t="shared" si="4"/>
        <v>1.9980317213283456</v>
      </c>
    </row>
    <row r="25" spans="1:8" ht="16.5" customHeight="1">
      <c r="A25" s="38">
        <v>331.15</v>
      </c>
      <c r="B25" s="22">
        <v>22</v>
      </c>
      <c r="C25" s="38">
        <v>331.15</v>
      </c>
      <c r="D25" s="38">
        <f t="shared" si="2"/>
        <v>454.57</v>
      </c>
      <c r="E25" s="25">
        <f t="shared" si="0"/>
        <v>37.27011928129247</v>
      </c>
      <c r="F25" s="25">
        <f t="shared" si="1"/>
        <v>123.42000000000002</v>
      </c>
      <c r="G25" s="28">
        <f t="shared" si="3"/>
        <v>3.9978644557502605</v>
      </c>
      <c r="H25" s="28">
        <f t="shared" si="4"/>
        <v>1.9992819638289205</v>
      </c>
    </row>
    <row r="26" spans="1:8" ht="16.5" customHeight="1">
      <c r="A26" s="38">
        <v>344.38</v>
      </c>
      <c r="B26" s="22">
        <v>23</v>
      </c>
      <c r="C26" s="38">
        <v>344.38</v>
      </c>
      <c r="D26" s="38">
        <f t="shared" si="2"/>
        <v>463.66</v>
      </c>
      <c r="E26" s="25">
        <f t="shared" si="0"/>
        <v>34.636157732737104</v>
      </c>
      <c r="F26" s="25">
        <f t="shared" si="1"/>
        <v>119.28000000000003</v>
      </c>
      <c r="G26" s="28">
        <f t="shared" si="3"/>
        <v>3.9951683527102517</v>
      </c>
      <c r="H26" s="28">
        <f t="shared" si="4"/>
        <v>1.9996920166311014</v>
      </c>
    </row>
    <row r="27" spans="1:8" ht="16.5" customHeight="1">
      <c r="A27" s="38">
        <v>358.17</v>
      </c>
      <c r="B27" s="22">
        <v>24</v>
      </c>
      <c r="C27" s="38">
        <v>358.17</v>
      </c>
      <c r="D27" s="38">
        <f t="shared" si="2"/>
        <v>472.93</v>
      </c>
      <c r="E27" s="25">
        <f t="shared" si="0"/>
        <v>32.040651087472426</v>
      </c>
      <c r="F27" s="25">
        <f t="shared" si="1"/>
        <v>114.75999999999999</v>
      </c>
      <c r="G27" s="28">
        <f t="shared" si="3"/>
        <v>4.004297578256583</v>
      </c>
      <c r="H27" s="28">
        <f t="shared" si="4"/>
        <v>1.9993098391062318</v>
      </c>
    </row>
    <row r="28" spans="1:8" ht="16.5" customHeight="1">
      <c r="A28" s="38">
        <v>372.48</v>
      </c>
      <c r="B28" s="22">
        <v>25</v>
      </c>
      <c r="C28" s="38">
        <v>372.48</v>
      </c>
      <c r="D28" s="38">
        <f t="shared" si="2"/>
        <v>482.38</v>
      </c>
      <c r="E28" s="25">
        <f t="shared" si="0"/>
        <v>29.504939862542948</v>
      </c>
      <c r="F28" s="25">
        <f t="shared" si="1"/>
        <v>109.89999999999998</v>
      </c>
      <c r="G28" s="28">
        <f t="shared" si="3"/>
        <v>3.9953094899070294</v>
      </c>
      <c r="H28" s="28">
        <f t="shared" si="4"/>
        <v>1.9981815490664587</v>
      </c>
    </row>
    <row r="29" spans="1:8" ht="16.5" customHeight="1">
      <c r="A29" s="38">
        <v>387.37</v>
      </c>
      <c r="B29" s="22">
        <v>26</v>
      </c>
      <c r="C29" s="38">
        <v>387.37</v>
      </c>
      <c r="D29" s="38">
        <f t="shared" si="2"/>
        <v>492.02</v>
      </c>
      <c r="E29" s="25">
        <f t="shared" si="0"/>
        <v>27.01551488241216</v>
      </c>
      <c r="F29" s="25">
        <f t="shared" si="1"/>
        <v>104.64999999999998</v>
      </c>
      <c r="G29" s="28">
        <f t="shared" si="3"/>
        <v>3.9975300687285227</v>
      </c>
      <c r="H29" s="28">
        <f t="shared" si="4"/>
        <v>1.9984244786268164</v>
      </c>
    </row>
    <row r="30" spans="1:8" ht="16.5" customHeight="1">
      <c r="A30" s="38">
        <v>402.87</v>
      </c>
      <c r="B30" s="22">
        <v>27</v>
      </c>
      <c r="C30" s="38">
        <v>402.87</v>
      </c>
      <c r="D30" s="38">
        <f t="shared" si="2"/>
        <v>501.86</v>
      </c>
      <c r="E30" s="25">
        <f t="shared" si="0"/>
        <v>24.571201628316828</v>
      </c>
      <c r="F30" s="25">
        <f t="shared" si="1"/>
        <v>98.99000000000001</v>
      </c>
      <c r="G30" s="28">
        <f t="shared" si="3"/>
        <v>4.001342385832672</v>
      </c>
      <c r="H30" s="28">
        <f t="shared" si="4"/>
        <v>1.9999187024917688</v>
      </c>
    </row>
    <row r="31" spans="1:8" ht="16.5" customHeight="1">
      <c r="A31" s="38">
        <v>418.95</v>
      </c>
      <c r="B31" s="22">
        <v>28</v>
      </c>
      <c r="C31" s="38">
        <v>418.95</v>
      </c>
      <c r="D31" s="38">
        <f t="shared" si="2"/>
        <v>511.89</v>
      </c>
      <c r="E31" s="25">
        <f t="shared" si="0"/>
        <v>22.18403150733978</v>
      </c>
      <c r="F31" s="25">
        <f t="shared" si="1"/>
        <v>92.94</v>
      </c>
      <c r="G31" s="28">
        <f t="shared" si="3"/>
        <v>3.9913619778092055</v>
      </c>
      <c r="H31" s="28">
        <f t="shared" si="4"/>
        <v>1.9985653369465552</v>
      </c>
    </row>
    <row r="32" spans="1:8" ht="16.5" customHeight="1">
      <c r="A32" s="38">
        <v>435.71</v>
      </c>
      <c r="B32" s="22">
        <v>29</v>
      </c>
      <c r="C32" s="38">
        <v>435.71</v>
      </c>
      <c r="D32" s="38">
        <f t="shared" si="2"/>
        <v>522.12</v>
      </c>
      <c r="E32" s="25">
        <f t="shared" si="0"/>
        <v>19.831998347524735</v>
      </c>
      <c r="F32" s="25">
        <f t="shared" si="1"/>
        <v>86.41000000000003</v>
      </c>
      <c r="G32" s="28">
        <f t="shared" si="3"/>
        <v>4.00047738393603</v>
      </c>
      <c r="H32" s="28">
        <f t="shared" si="4"/>
        <v>1.9984762351286491</v>
      </c>
    </row>
    <row r="33" spans="1:8" ht="16.5" customHeight="1">
      <c r="A33" s="38">
        <v>453.12</v>
      </c>
      <c r="B33" s="22">
        <v>30</v>
      </c>
      <c r="C33" s="38">
        <v>453.12</v>
      </c>
      <c r="D33" s="38">
        <f t="shared" si="2"/>
        <v>532.56</v>
      </c>
      <c r="E33" s="25">
        <f t="shared" si="0"/>
        <v>17.531779661016937</v>
      </c>
      <c r="F33" s="25">
        <f t="shared" si="1"/>
        <v>79.43999999999994</v>
      </c>
      <c r="G33" s="28">
        <f t="shared" si="3"/>
        <v>3.9957770076427153</v>
      </c>
      <c r="H33" s="28">
        <f t="shared" si="4"/>
        <v>1.9995403355550252</v>
      </c>
    </row>
    <row r="34" spans="1:8" ht="16.5" customHeight="1">
      <c r="A34" s="38">
        <v>471.24</v>
      </c>
      <c r="B34" s="22">
        <v>31</v>
      </c>
      <c r="C34" s="38">
        <v>471.24</v>
      </c>
      <c r="D34" s="38">
        <f t="shared" si="2"/>
        <v>543.21</v>
      </c>
      <c r="E34" s="25">
        <f t="shared" si="0"/>
        <v>15.272472625413807</v>
      </c>
      <c r="F34" s="25">
        <f t="shared" si="1"/>
        <v>71.97000000000003</v>
      </c>
      <c r="G34" s="28">
        <f t="shared" si="3"/>
        <v>3.998940677966118</v>
      </c>
      <c r="H34" s="28">
        <f t="shared" si="4"/>
        <v>1.9997746732762778</v>
      </c>
    </row>
    <row r="35" spans="1:8" ht="16.5" customHeight="1">
      <c r="A35" s="38">
        <v>490.1</v>
      </c>
      <c r="B35" s="22">
        <v>32</v>
      </c>
      <c r="C35" s="38">
        <v>490.1</v>
      </c>
      <c r="D35" s="38">
        <f t="shared" si="2"/>
        <v>554.07</v>
      </c>
      <c r="E35" s="25">
        <f t="shared" si="0"/>
        <v>13.052438277902473</v>
      </c>
      <c r="F35" s="25">
        <f t="shared" si="1"/>
        <v>63.97000000000003</v>
      </c>
      <c r="G35" s="28">
        <f t="shared" si="3"/>
        <v>4.0022069433834275</v>
      </c>
      <c r="H35" s="28">
        <f t="shared" si="4"/>
        <v>1.999226818357542</v>
      </c>
    </row>
    <row r="36" spans="1:9" ht="16.5" customHeight="1">
      <c r="A36" s="38">
        <v>509.69</v>
      </c>
      <c r="B36" s="22">
        <v>33</v>
      </c>
      <c r="C36" s="38">
        <v>509.69</v>
      </c>
      <c r="D36" s="38">
        <f t="shared" si="2"/>
        <v>565.15</v>
      </c>
      <c r="E36" s="25">
        <f t="shared" si="0"/>
        <v>10.881123820361392</v>
      </c>
      <c r="F36" s="25">
        <f t="shared" si="1"/>
        <v>55.45999999999998</v>
      </c>
      <c r="G36" s="28">
        <f t="shared" si="3"/>
        <v>3.9971434401142574</v>
      </c>
      <c r="H36" s="28">
        <f t="shared" si="4"/>
        <v>1.999747324345293</v>
      </c>
      <c r="I36" s="28"/>
    </row>
    <row r="37" spans="1:8" ht="16.5" customHeight="1">
      <c r="A37" s="38">
        <v>530.08</v>
      </c>
      <c r="B37" s="22">
        <v>34</v>
      </c>
      <c r="C37" s="38">
        <v>530.08</v>
      </c>
      <c r="D37" s="38">
        <f t="shared" si="2"/>
        <v>576.45</v>
      </c>
      <c r="E37" s="25">
        <f t="shared" si="0"/>
        <v>8.747736190763657</v>
      </c>
      <c r="F37" s="25">
        <f t="shared" si="1"/>
        <v>46.370000000000005</v>
      </c>
      <c r="G37" s="28">
        <f t="shared" si="3"/>
        <v>4.0004708744531</v>
      </c>
      <c r="H37" s="28">
        <f t="shared" si="4"/>
        <v>1.9994691674776561</v>
      </c>
    </row>
    <row r="38" spans="1:8" ht="16.5" customHeight="1">
      <c r="A38" s="38">
        <v>551.28</v>
      </c>
      <c r="B38" s="22">
        <v>35</v>
      </c>
      <c r="C38" s="38">
        <v>551.28</v>
      </c>
      <c r="D38" s="38">
        <f t="shared" si="2"/>
        <v>587.97</v>
      </c>
      <c r="E38" s="25">
        <f t="shared" si="0"/>
        <v>6.655420113191129</v>
      </c>
      <c r="F38" s="25">
        <f t="shared" si="1"/>
        <v>36.690000000000055</v>
      </c>
      <c r="G38" s="28">
        <f t="shared" si="3"/>
        <v>3.999396317536963</v>
      </c>
      <c r="H38" s="28">
        <f t="shared" si="4"/>
        <v>1.9984387197501832</v>
      </c>
    </row>
    <row r="39" spans="1:9" ht="16.5" customHeight="1">
      <c r="A39" s="38">
        <v>573.31</v>
      </c>
      <c r="B39" s="22">
        <v>36</v>
      </c>
      <c r="C39" s="38">
        <v>573.31</v>
      </c>
      <c r="D39" s="38">
        <f t="shared" si="2"/>
        <v>599.72</v>
      </c>
      <c r="E39" s="25">
        <f t="shared" si="0"/>
        <v>4.606582826045261</v>
      </c>
      <c r="F39" s="25">
        <f t="shared" si="1"/>
        <v>26.410000000000082</v>
      </c>
      <c r="G39" s="28">
        <f t="shared" si="3"/>
        <v>3.996154404295453</v>
      </c>
      <c r="H39" s="28">
        <f t="shared" si="4"/>
        <v>1.9984012789768144</v>
      </c>
      <c r="I39" s="28"/>
    </row>
    <row r="40" spans="1:9" ht="16.5" customHeight="1">
      <c r="A40" s="38">
        <v>596.24</v>
      </c>
      <c r="B40" s="22">
        <v>37</v>
      </c>
      <c r="C40" s="38">
        <v>596.24</v>
      </c>
      <c r="D40" s="38">
        <f t="shared" si="2"/>
        <v>611.71</v>
      </c>
      <c r="E40" s="25">
        <f t="shared" si="0"/>
        <v>2.594592781430301</v>
      </c>
      <c r="F40" s="25">
        <f t="shared" si="1"/>
        <v>15.470000000000027</v>
      </c>
      <c r="G40" s="28">
        <f t="shared" si="3"/>
        <v>3.999581378311916</v>
      </c>
      <c r="H40" s="28">
        <f t="shared" si="4"/>
        <v>1.9992663242846618</v>
      </c>
      <c r="I40" s="28"/>
    </row>
    <row r="41" spans="1:9" ht="16.5" customHeight="1">
      <c r="A41" s="38">
        <v>620.07</v>
      </c>
      <c r="B41" s="22">
        <v>38</v>
      </c>
      <c r="C41" s="38">
        <v>620.07</v>
      </c>
      <c r="D41" s="38">
        <f t="shared" si="2"/>
        <v>632.47</v>
      </c>
      <c r="E41" s="25">
        <f t="shared" si="0"/>
        <v>1.999774219039782</v>
      </c>
      <c r="F41" s="25">
        <f t="shared" si="1"/>
        <v>12.399999999999977</v>
      </c>
      <c r="G41" s="28">
        <f t="shared" si="3"/>
        <v>3.996712733127609</v>
      </c>
      <c r="H41" s="28">
        <f t="shared" si="4"/>
        <v>3.3937650193719264</v>
      </c>
      <c r="I41" s="28"/>
    </row>
    <row r="42" spans="1:8" ht="16.5" customHeight="1">
      <c r="A42" s="38">
        <v>644.88</v>
      </c>
      <c r="B42" s="22">
        <v>39</v>
      </c>
      <c r="C42" s="38">
        <v>644.88</v>
      </c>
      <c r="D42" s="38">
        <f t="shared" si="2"/>
        <v>657.77</v>
      </c>
      <c r="E42" s="25">
        <f t="shared" si="0"/>
        <v>1.9988214861679672</v>
      </c>
      <c r="F42" s="25">
        <f t="shared" si="1"/>
        <v>12.889999999999986</v>
      </c>
      <c r="G42" s="28">
        <f t="shared" si="3"/>
        <v>4.001161159223955</v>
      </c>
      <c r="H42" s="28">
        <f t="shared" si="4"/>
        <v>4.000189732319299</v>
      </c>
    </row>
    <row r="43" spans="1:8" ht="16.5" customHeight="1">
      <c r="A43" s="38">
        <v>670.67</v>
      </c>
      <c r="B43" s="22">
        <v>40</v>
      </c>
      <c r="C43" s="38">
        <v>670.67</v>
      </c>
      <c r="D43" s="38">
        <f t="shared" si="2"/>
        <v>684.08</v>
      </c>
      <c r="E43" s="25">
        <f t="shared" si="0"/>
        <v>1.999493044269176</v>
      </c>
      <c r="F43" s="25">
        <f t="shared" si="1"/>
        <v>13.410000000000082</v>
      </c>
      <c r="G43" s="28">
        <f t="shared" si="3"/>
        <v>3.9991936484307047</v>
      </c>
      <c r="H43" s="28">
        <f t="shared" si="4"/>
        <v>3.9998783769402735</v>
      </c>
    </row>
    <row r="44" spans="1:8" ht="16.5" customHeight="1">
      <c r="A44" s="38">
        <v>697.49</v>
      </c>
      <c r="B44" s="22">
        <v>41</v>
      </c>
      <c r="C44" s="38">
        <v>697.49</v>
      </c>
      <c r="D44" s="38">
        <f t="shared" si="2"/>
        <v>711.43</v>
      </c>
      <c r="E44" s="25">
        <f t="shared" si="0"/>
        <v>1.9985949619349297</v>
      </c>
      <c r="F44" s="25">
        <f t="shared" si="1"/>
        <v>13.93999999999994</v>
      </c>
      <c r="G44" s="28">
        <f t="shared" si="3"/>
        <v>3.998986088538331</v>
      </c>
      <c r="H44" s="28">
        <f t="shared" si="4"/>
        <v>3.9980704011226607</v>
      </c>
    </row>
    <row r="45" spans="1:8" ht="16.5" customHeight="1">
      <c r="A45" s="38">
        <v>725.38</v>
      </c>
      <c r="B45" s="22">
        <v>42</v>
      </c>
      <c r="C45" s="38">
        <v>725.38</v>
      </c>
      <c r="D45" s="38">
        <f t="shared" si="2"/>
        <v>739.88</v>
      </c>
      <c r="E45" s="25">
        <f t="shared" si="0"/>
        <v>1.9989522732912404</v>
      </c>
      <c r="F45" s="25">
        <f t="shared" si="1"/>
        <v>14.5</v>
      </c>
      <c r="G45" s="28">
        <f t="shared" si="3"/>
        <v>3.9986236361811507</v>
      </c>
      <c r="H45" s="28">
        <f t="shared" si="4"/>
        <v>3.9989879538394604</v>
      </c>
    </row>
    <row r="46" spans="1:8" ht="16.5" customHeight="1">
      <c r="A46" s="38">
        <v>754.39</v>
      </c>
      <c r="B46" s="22">
        <v>43</v>
      </c>
      <c r="C46" s="38">
        <v>754.39</v>
      </c>
      <c r="D46" s="38">
        <f t="shared" si="2"/>
        <v>769.47</v>
      </c>
      <c r="E46" s="25">
        <f t="shared" si="0"/>
        <v>1.9989660520420527</v>
      </c>
      <c r="F46" s="25">
        <f t="shared" si="1"/>
        <v>15.080000000000041</v>
      </c>
      <c r="G46" s="28">
        <f t="shared" si="3"/>
        <v>3.9992831343571567</v>
      </c>
      <c r="H46" s="28">
        <f t="shared" si="4"/>
        <v>3.9992971833270303</v>
      </c>
    </row>
    <row r="47" spans="1:8" ht="16.5" customHeight="1">
      <c r="A47" s="38">
        <v>784.56</v>
      </c>
      <c r="B47" s="22">
        <v>44</v>
      </c>
      <c r="C47" s="38">
        <v>784.56</v>
      </c>
      <c r="D47" s="38">
        <f t="shared" si="2"/>
        <v>800.25</v>
      </c>
      <c r="E47" s="25">
        <f t="shared" si="0"/>
        <v>1.9998470480269266</v>
      </c>
      <c r="F47" s="25">
        <f t="shared" si="1"/>
        <v>15.690000000000055</v>
      </c>
      <c r="G47" s="28">
        <f t="shared" si="3"/>
        <v>3.9992576783891565</v>
      </c>
      <c r="H47" s="28">
        <f t="shared" si="4"/>
        <v>4.000155951499067</v>
      </c>
    </row>
    <row r="48" spans="1:8" ht="16.5" customHeight="1">
      <c r="A48" s="38">
        <v>815.95</v>
      </c>
      <c r="B48" s="22">
        <v>45</v>
      </c>
      <c r="C48" s="38">
        <v>815.95</v>
      </c>
      <c r="D48" s="38">
        <f t="shared" si="2"/>
        <v>832.26</v>
      </c>
      <c r="E48" s="25">
        <f t="shared" si="0"/>
        <v>1.9988969912372014</v>
      </c>
      <c r="F48" s="25">
        <f t="shared" si="1"/>
        <v>16.309999999999945</v>
      </c>
      <c r="G48" s="28">
        <f t="shared" si="3"/>
        <v>4.000968695829528</v>
      </c>
      <c r="H48" s="28">
        <f t="shared" si="4"/>
        <v>4</v>
      </c>
    </row>
    <row r="49" spans="1:8" ht="16.5" customHeight="1">
      <c r="A49" s="38">
        <v>848.59</v>
      </c>
      <c r="B49" s="22">
        <v>46</v>
      </c>
      <c r="C49" s="38">
        <v>848.59</v>
      </c>
      <c r="D49" s="38">
        <f t="shared" si="2"/>
        <v>865.56</v>
      </c>
      <c r="E49" s="25">
        <f t="shared" si="0"/>
        <v>1.9997878834301503</v>
      </c>
      <c r="F49" s="25">
        <f t="shared" si="1"/>
        <v>16.969999999999914</v>
      </c>
      <c r="G49" s="28">
        <f t="shared" si="3"/>
        <v>4.000245113058384</v>
      </c>
      <c r="H49" s="28">
        <f t="shared" si="4"/>
        <v>4.001153485689571</v>
      </c>
    </row>
    <row r="50" spans="1:8" ht="16.5" customHeight="1">
      <c r="A50" s="38"/>
      <c r="B50" s="22"/>
      <c r="C50" s="38"/>
      <c r="D50" s="38"/>
      <c r="E50" s="25"/>
      <c r="F50" s="25"/>
      <c r="G50" s="28"/>
      <c r="H50" s="28"/>
    </row>
    <row r="51" spans="1:8" ht="16.5" customHeight="1">
      <c r="A51" s="39">
        <v>388.46</v>
      </c>
      <c r="B51" s="22">
        <v>901</v>
      </c>
      <c r="C51" s="39">
        <v>388.46</v>
      </c>
      <c r="D51" s="49">
        <f aca="true" t="shared" si="5" ref="D51:D56">ROUNDDOWN((C51*(1+($H$1/100))),2)</f>
        <v>396.22</v>
      </c>
      <c r="E51" s="25">
        <f aca="true" t="shared" si="6" ref="E51:E56">((D51-C51)*100)/C51</f>
        <v>1.9976316737888196</v>
      </c>
      <c r="F51" s="25">
        <f aca="true" t="shared" si="7" ref="F51:F56">D51-C51</f>
        <v>7.760000000000048</v>
      </c>
      <c r="G51" s="28"/>
      <c r="H51" s="28"/>
    </row>
    <row r="52" spans="1:8" ht="16.5" customHeight="1">
      <c r="A52" s="39">
        <v>473.92</v>
      </c>
      <c r="B52" s="22">
        <v>902</v>
      </c>
      <c r="C52" s="39">
        <v>473.92</v>
      </c>
      <c r="D52" s="49">
        <f t="shared" si="5"/>
        <v>483.39</v>
      </c>
      <c r="E52" s="25">
        <f t="shared" si="6"/>
        <v>1.9982275489534036</v>
      </c>
      <c r="F52" s="25">
        <f t="shared" si="7"/>
        <v>9.46999999999997</v>
      </c>
      <c r="G52" s="28">
        <f>$C52/$C51*$G$4-100</f>
        <v>21.99969108788551</v>
      </c>
      <c r="H52" s="28">
        <f>D52/C52*100-100</f>
        <v>1.9982275489533947</v>
      </c>
    </row>
    <row r="53" spans="1:8" ht="16.5" customHeight="1">
      <c r="A53" s="39">
        <v>578.17</v>
      </c>
      <c r="B53" s="22">
        <v>903</v>
      </c>
      <c r="C53" s="39">
        <v>578.17</v>
      </c>
      <c r="D53" s="49">
        <f t="shared" si="5"/>
        <v>589.73</v>
      </c>
      <c r="E53" s="25">
        <f t="shared" si="6"/>
        <v>1.999411937665403</v>
      </c>
      <c r="F53" s="25">
        <f t="shared" si="7"/>
        <v>11.56000000000006</v>
      </c>
      <c r="G53" s="28">
        <f>$C53/$C52*$G$4-100</f>
        <v>21.997383524645485</v>
      </c>
      <c r="H53" s="28">
        <f>D53/C53*100-100</f>
        <v>1.9994119376653998</v>
      </c>
    </row>
    <row r="54" spans="1:8" ht="16.5" customHeight="1">
      <c r="A54" s="39">
        <v>705.35</v>
      </c>
      <c r="B54" s="22">
        <v>904</v>
      </c>
      <c r="C54" s="39">
        <v>705.35</v>
      </c>
      <c r="D54" s="49">
        <f t="shared" si="5"/>
        <v>719.45</v>
      </c>
      <c r="E54" s="25">
        <f t="shared" si="6"/>
        <v>1.9990075848869386</v>
      </c>
      <c r="F54" s="25">
        <f t="shared" si="7"/>
        <v>14.100000000000023</v>
      </c>
      <c r="G54" s="28">
        <f>$C54/$C53*$G$4-100</f>
        <v>21.996990504522913</v>
      </c>
      <c r="H54" s="28">
        <f>D54/C54*100-100</f>
        <v>1.9990075848869395</v>
      </c>
    </row>
    <row r="55" spans="1:8" ht="16.5" customHeight="1">
      <c r="A55" s="39">
        <v>860.51</v>
      </c>
      <c r="B55" s="22">
        <v>905</v>
      </c>
      <c r="C55" s="39">
        <v>860.51</v>
      </c>
      <c r="D55" s="49">
        <f t="shared" si="5"/>
        <v>877.72</v>
      </c>
      <c r="E55" s="25">
        <f t="shared" si="6"/>
        <v>1.9999767579691157</v>
      </c>
      <c r="F55" s="25">
        <f t="shared" si="7"/>
        <v>17.210000000000036</v>
      </c>
      <c r="G55" s="28">
        <f>$C55/$C54*$G$4-100</f>
        <v>21.99758984901112</v>
      </c>
      <c r="H55" s="28">
        <f>D55/C55*100-100</f>
        <v>1.9999767579691223</v>
      </c>
    </row>
    <row r="56" spans="1:8" ht="16.5" customHeight="1">
      <c r="A56" s="39">
        <v>1049.84</v>
      </c>
      <c r="B56" s="22">
        <v>906</v>
      </c>
      <c r="C56" s="39">
        <v>1049.84</v>
      </c>
      <c r="D56" s="49">
        <f t="shared" si="5"/>
        <v>1070.83</v>
      </c>
      <c r="E56" s="25">
        <f t="shared" si="6"/>
        <v>1.9993522822525347</v>
      </c>
      <c r="F56" s="25">
        <f t="shared" si="7"/>
        <v>20.99000000000001</v>
      </c>
      <c r="G56" s="28">
        <f>$C56/$C55*$G$4-100</f>
        <v>22.002068540749093</v>
      </c>
      <c r="H56" s="28">
        <f>D56/C56*100-100</f>
        <v>1.999352282252545</v>
      </c>
    </row>
    <row r="57" spans="1:8" ht="16.5" customHeight="1">
      <c r="A57" s="39"/>
      <c r="B57" s="22"/>
      <c r="C57" s="39"/>
      <c r="D57" s="49"/>
      <c r="E57" s="25"/>
      <c r="F57" s="25"/>
      <c r="G57" s="28"/>
      <c r="H57" s="28"/>
    </row>
    <row r="58" spans="1:8" ht="16.5" customHeight="1">
      <c r="A58" s="50">
        <v>775.92</v>
      </c>
      <c r="B58" s="22" t="s">
        <v>11</v>
      </c>
      <c r="C58" s="50">
        <v>775.92</v>
      </c>
      <c r="D58" s="49">
        <f aca="true" t="shared" si="8" ref="D58:D67">ROUNDDOWN((C58*(1+($H$1/100))),2)</f>
        <v>791.43</v>
      </c>
      <c r="E58" s="25">
        <f aca="true" t="shared" si="9" ref="E58:E89">((D58-C58)*100)/C58</f>
        <v>1.998917414166408</v>
      </c>
      <c r="F58" s="25">
        <f aca="true" t="shared" si="10" ref="F58:F89">D58-C58</f>
        <v>15.509999999999991</v>
      </c>
      <c r="G58" s="28"/>
      <c r="H58" s="28">
        <f aca="true" t="shared" si="11" ref="H58:H89">D58/C58*100-100</f>
        <v>1.9989174141663995</v>
      </c>
    </row>
    <row r="59" spans="1:8" ht="16.5" customHeight="1">
      <c r="A59" s="50">
        <v>554.38</v>
      </c>
      <c r="B59" s="22" t="s">
        <v>12</v>
      </c>
      <c r="C59" s="50">
        <v>554.38</v>
      </c>
      <c r="D59" s="49">
        <f t="shared" si="8"/>
        <v>565.46</v>
      </c>
      <c r="E59" s="25">
        <f t="shared" si="9"/>
        <v>1.9986290991738593</v>
      </c>
      <c r="F59" s="25">
        <f t="shared" si="10"/>
        <v>11.080000000000041</v>
      </c>
      <c r="G59" s="28"/>
      <c r="H59" s="28">
        <f t="shared" si="11"/>
        <v>1.9986290991738542</v>
      </c>
    </row>
    <row r="60" spans="1:8" ht="16.5" customHeight="1">
      <c r="A60" s="50">
        <v>829.98</v>
      </c>
      <c r="B60" s="22" t="s">
        <v>13</v>
      </c>
      <c r="C60" s="50">
        <v>829.98</v>
      </c>
      <c r="D60" s="49">
        <f t="shared" si="8"/>
        <v>846.57</v>
      </c>
      <c r="E60" s="25">
        <f t="shared" si="9"/>
        <v>1.9988433456227899</v>
      </c>
      <c r="F60" s="25">
        <f t="shared" si="10"/>
        <v>16.590000000000032</v>
      </c>
      <c r="G60" s="28"/>
      <c r="H60" s="28">
        <f t="shared" si="11"/>
        <v>1.998843345622788</v>
      </c>
    </row>
    <row r="61" spans="1:8" ht="16.5" customHeight="1">
      <c r="A61" s="50">
        <v>357.22</v>
      </c>
      <c r="B61" s="22" t="s">
        <v>14</v>
      </c>
      <c r="C61" s="50">
        <v>357.22</v>
      </c>
      <c r="D61" s="49">
        <f t="shared" si="8"/>
        <v>364.36</v>
      </c>
      <c r="E61" s="25">
        <f t="shared" si="9"/>
        <v>1.9987682660545283</v>
      </c>
      <c r="F61" s="25">
        <f t="shared" si="10"/>
        <v>7.139999999999986</v>
      </c>
      <c r="G61" s="28"/>
      <c r="H61" s="28">
        <f t="shared" si="11"/>
        <v>1.9987682660545119</v>
      </c>
    </row>
    <row r="62" spans="1:8" ht="16.5" customHeight="1">
      <c r="A62" s="50">
        <v>481.24</v>
      </c>
      <c r="B62" s="22" t="s">
        <v>15</v>
      </c>
      <c r="C62" s="50">
        <v>481.24</v>
      </c>
      <c r="D62" s="49">
        <f t="shared" si="8"/>
        <v>490.86</v>
      </c>
      <c r="E62" s="25">
        <f t="shared" si="9"/>
        <v>1.9990025766769188</v>
      </c>
      <c r="F62" s="25">
        <f t="shared" si="10"/>
        <v>9.620000000000005</v>
      </c>
      <c r="G62" s="28"/>
      <c r="H62" s="28">
        <f t="shared" si="11"/>
        <v>1.999002576676915</v>
      </c>
    </row>
    <row r="63" spans="1:8" ht="16.5" customHeight="1">
      <c r="A63" s="50">
        <v>457.68</v>
      </c>
      <c r="B63" s="22" t="s">
        <v>16</v>
      </c>
      <c r="C63" s="50">
        <v>457.68</v>
      </c>
      <c r="D63" s="49">
        <f t="shared" si="8"/>
        <v>466.83</v>
      </c>
      <c r="E63" s="25">
        <f t="shared" si="9"/>
        <v>1.999213424226529</v>
      </c>
      <c r="F63" s="25">
        <f t="shared" si="10"/>
        <v>9.149999999999977</v>
      </c>
      <c r="G63" s="28"/>
      <c r="H63" s="28">
        <f t="shared" si="11"/>
        <v>1.9992134242265251</v>
      </c>
    </row>
    <row r="64" spans="1:8" ht="16.5" customHeight="1">
      <c r="A64" s="50">
        <v>578.76</v>
      </c>
      <c r="B64" s="22" t="s">
        <v>17</v>
      </c>
      <c r="C64" s="50">
        <v>578.76</v>
      </c>
      <c r="D64" s="49">
        <f t="shared" si="8"/>
        <v>590.33</v>
      </c>
      <c r="E64" s="25">
        <f t="shared" si="9"/>
        <v>1.999101527403423</v>
      </c>
      <c r="F64" s="25">
        <f t="shared" si="10"/>
        <v>11.57000000000005</v>
      </c>
      <c r="G64" s="28"/>
      <c r="H64" s="28">
        <f t="shared" si="11"/>
        <v>1.9991015274034112</v>
      </c>
    </row>
    <row r="65" spans="1:8" ht="16.5" customHeight="1">
      <c r="A65" s="50">
        <v>775.92</v>
      </c>
      <c r="B65" s="22" t="s">
        <v>18</v>
      </c>
      <c r="C65" s="50">
        <v>775.92</v>
      </c>
      <c r="D65" s="49">
        <f t="shared" si="8"/>
        <v>791.43</v>
      </c>
      <c r="E65" s="25">
        <f t="shared" si="9"/>
        <v>1.998917414166408</v>
      </c>
      <c r="F65" s="25">
        <f t="shared" si="10"/>
        <v>15.509999999999991</v>
      </c>
      <c r="G65" s="28"/>
      <c r="H65" s="28">
        <f t="shared" si="11"/>
        <v>1.9989174141663995</v>
      </c>
    </row>
    <row r="66" spans="1:8" ht="16.5" customHeight="1">
      <c r="A66" s="50">
        <v>6.07</v>
      </c>
      <c r="B66" s="22" t="s">
        <v>19</v>
      </c>
      <c r="C66" s="50">
        <v>6.07</v>
      </c>
      <c r="D66" s="49">
        <f t="shared" si="8"/>
        <v>6.19</v>
      </c>
      <c r="E66" s="25">
        <f t="shared" si="9"/>
        <v>1.9769357495881401</v>
      </c>
      <c r="F66" s="25">
        <f t="shared" si="10"/>
        <v>0.1200000000000001</v>
      </c>
      <c r="G66" s="28"/>
      <c r="H66" s="28">
        <f t="shared" si="11"/>
        <v>1.9769357495881508</v>
      </c>
    </row>
    <row r="67" spans="1:8" ht="16.5" customHeight="1">
      <c r="A67" s="50">
        <v>245.92</v>
      </c>
      <c r="B67" s="22" t="s">
        <v>20</v>
      </c>
      <c r="C67" s="50">
        <v>245.92</v>
      </c>
      <c r="D67" s="49">
        <f t="shared" si="8"/>
        <v>250.83</v>
      </c>
      <c r="E67" s="25">
        <f t="shared" si="9"/>
        <v>1.9965842550423005</v>
      </c>
      <c r="F67" s="25">
        <f t="shared" si="10"/>
        <v>4.910000000000025</v>
      </c>
      <c r="G67" s="28"/>
      <c r="H67" s="28">
        <f t="shared" si="11"/>
        <v>1.9965842550422934</v>
      </c>
    </row>
    <row r="68" spans="1:8" ht="16.5" customHeight="1">
      <c r="A68" s="50">
        <v>130</v>
      </c>
      <c r="B68" s="22" t="s">
        <v>21</v>
      </c>
      <c r="C68" s="50">
        <v>130</v>
      </c>
      <c r="D68" s="49">
        <v>150</v>
      </c>
      <c r="E68" s="25">
        <f t="shared" si="9"/>
        <v>15.384615384615385</v>
      </c>
      <c r="F68" s="25">
        <f t="shared" si="10"/>
        <v>20</v>
      </c>
      <c r="G68" s="28"/>
      <c r="H68" s="28">
        <f t="shared" si="11"/>
        <v>15.384615384615373</v>
      </c>
    </row>
    <row r="69" spans="1:8" ht="16.5" customHeight="1">
      <c r="A69" s="38">
        <v>194.43</v>
      </c>
      <c r="B69" s="22" t="s">
        <v>22</v>
      </c>
      <c r="C69" s="38">
        <v>194.43</v>
      </c>
      <c r="D69" s="49">
        <f aca="true" t="shared" si="12" ref="D69:D108">ROUNDDOWN((C69*(1+($H$1/100))),2)</f>
        <v>198.31</v>
      </c>
      <c r="E69" s="25">
        <f t="shared" si="9"/>
        <v>1.9955768142776296</v>
      </c>
      <c r="F69" s="25">
        <f t="shared" si="10"/>
        <v>3.8799999999999955</v>
      </c>
      <c r="G69" s="28"/>
      <c r="H69" s="28">
        <f t="shared" si="11"/>
        <v>1.9955768142776265</v>
      </c>
    </row>
    <row r="70" spans="1:8" ht="16.5" customHeight="1">
      <c r="A70" s="38">
        <v>231.65</v>
      </c>
      <c r="B70" s="22" t="s">
        <v>23</v>
      </c>
      <c r="C70" s="38">
        <v>231.65</v>
      </c>
      <c r="D70" s="49">
        <f t="shared" si="12"/>
        <v>236.28</v>
      </c>
      <c r="E70" s="25">
        <f t="shared" si="9"/>
        <v>1.9987049428016384</v>
      </c>
      <c r="F70" s="25">
        <f t="shared" si="10"/>
        <v>4.6299999999999955</v>
      </c>
      <c r="G70" s="28"/>
      <c r="H70" s="28">
        <f t="shared" si="11"/>
        <v>1.9987049428016377</v>
      </c>
    </row>
    <row r="71" spans="1:8" ht="16.5" customHeight="1">
      <c r="A71" s="38">
        <v>233.07</v>
      </c>
      <c r="B71" s="22" t="s">
        <v>24</v>
      </c>
      <c r="C71" s="38">
        <v>233.07</v>
      </c>
      <c r="D71" s="49">
        <f t="shared" si="12"/>
        <v>237.73</v>
      </c>
      <c r="E71" s="25">
        <f t="shared" si="9"/>
        <v>1.9993993220920738</v>
      </c>
      <c r="F71" s="25">
        <f t="shared" si="10"/>
        <v>4.659999999999997</v>
      </c>
      <c r="G71" s="28"/>
      <c r="H71" s="28">
        <f t="shared" si="11"/>
        <v>1.9993993220920743</v>
      </c>
    </row>
    <row r="72" spans="1:8" ht="16.5" customHeight="1">
      <c r="A72" s="38">
        <v>235.89</v>
      </c>
      <c r="B72" s="22" t="s">
        <v>25</v>
      </c>
      <c r="C72" s="38">
        <v>235.89</v>
      </c>
      <c r="D72" s="49">
        <f t="shared" si="12"/>
        <v>240.6</v>
      </c>
      <c r="E72" s="25">
        <f t="shared" si="9"/>
        <v>1.996693374030272</v>
      </c>
      <c r="F72" s="25">
        <f t="shared" si="10"/>
        <v>4.710000000000008</v>
      </c>
      <c r="G72" s="28"/>
      <c r="H72" s="28">
        <f t="shared" si="11"/>
        <v>1.9966933740302721</v>
      </c>
    </row>
    <row r="73" spans="1:8" ht="16.5" customHeight="1">
      <c r="A73" s="38">
        <v>237.44</v>
      </c>
      <c r="B73" s="22" t="s">
        <v>26</v>
      </c>
      <c r="C73" s="38">
        <v>237.44</v>
      </c>
      <c r="D73" s="49">
        <f t="shared" si="12"/>
        <v>242.18</v>
      </c>
      <c r="E73" s="25">
        <f t="shared" si="9"/>
        <v>1.9962938005390873</v>
      </c>
      <c r="F73" s="25">
        <f t="shared" si="10"/>
        <v>4.740000000000009</v>
      </c>
      <c r="G73" s="28"/>
      <c r="H73" s="28">
        <f t="shared" si="11"/>
        <v>1.9962938005390924</v>
      </c>
    </row>
    <row r="74" spans="1:8" ht="16.5" customHeight="1">
      <c r="A74" s="38">
        <v>245.33</v>
      </c>
      <c r="B74" s="22" t="s">
        <v>27</v>
      </c>
      <c r="C74" s="38">
        <v>245.33</v>
      </c>
      <c r="D74" s="49">
        <f t="shared" si="12"/>
        <v>250.23</v>
      </c>
      <c r="E74" s="25">
        <f t="shared" si="9"/>
        <v>1.997309746056323</v>
      </c>
      <c r="F74" s="25">
        <f t="shared" si="10"/>
        <v>4.899999999999977</v>
      </c>
      <c r="G74" s="28"/>
      <c r="H74" s="28">
        <f t="shared" si="11"/>
        <v>1.9973097460563167</v>
      </c>
    </row>
    <row r="75" spans="1:8" ht="16.5" customHeight="1">
      <c r="A75" s="38">
        <v>254.26</v>
      </c>
      <c r="B75" s="22" t="s">
        <v>28</v>
      </c>
      <c r="C75" s="38">
        <v>254.26</v>
      </c>
      <c r="D75" s="49">
        <f t="shared" si="12"/>
        <v>259.34</v>
      </c>
      <c r="E75" s="25">
        <f t="shared" si="9"/>
        <v>1.9979548493667838</v>
      </c>
      <c r="F75" s="25">
        <f t="shared" si="10"/>
        <v>5.079999999999984</v>
      </c>
      <c r="G75" s="28"/>
      <c r="H75" s="28">
        <f t="shared" si="11"/>
        <v>1.9979548493667778</v>
      </c>
    </row>
    <row r="76" spans="1:8" ht="16.5" customHeight="1">
      <c r="A76" s="38">
        <v>258.22</v>
      </c>
      <c r="B76" s="22" t="s">
        <v>29</v>
      </c>
      <c r="C76" s="38">
        <v>258.22</v>
      </c>
      <c r="D76" s="49">
        <f t="shared" si="12"/>
        <v>263.38</v>
      </c>
      <c r="E76" s="25">
        <f t="shared" si="9"/>
        <v>1.9982960266439345</v>
      </c>
      <c r="F76" s="25">
        <f t="shared" si="10"/>
        <v>5.159999999999968</v>
      </c>
      <c r="G76" s="28"/>
      <c r="H76" s="28">
        <f t="shared" si="11"/>
        <v>1.998296026643942</v>
      </c>
    </row>
    <row r="77" spans="1:8" ht="16.5" customHeight="1">
      <c r="A77" s="38">
        <v>260</v>
      </c>
      <c r="B77" s="22" t="s">
        <v>30</v>
      </c>
      <c r="C77" s="38">
        <v>260</v>
      </c>
      <c r="D77" s="49">
        <f t="shared" si="12"/>
        <v>265.2</v>
      </c>
      <c r="E77" s="25">
        <f t="shared" si="9"/>
        <v>1.9999999999999956</v>
      </c>
      <c r="F77" s="25">
        <f t="shared" si="10"/>
        <v>5.199999999999989</v>
      </c>
      <c r="G77" s="28"/>
      <c r="H77" s="28">
        <f t="shared" si="11"/>
        <v>2</v>
      </c>
    </row>
    <row r="78" spans="1:8" ht="16.5" customHeight="1">
      <c r="A78" s="38">
        <v>273.64</v>
      </c>
      <c r="B78" s="22" t="s">
        <v>31</v>
      </c>
      <c r="C78" s="38">
        <v>273.64</v>
      </c>
      <c r="D78" s="49">
        <f t="shared" si="12"/>
        <v>279.11</v>
      </c>
      <c r="E78" s="25">
        <f t="shared" si="9"/>
        <v>1.99897675778396</v>
      </c>
      <c r="F78" s="25">
        <f t="shared" si="10"/>
        <v>5.470000000000027</v>
      </c>
      <c r="G78" s="28"/>
      <c r="H78" s="28">
        <f t="shared" si="11"/>
        <v>1.9989767577839501</v>
      </c>
    </row>
    <row r="79" spans="1:8" ht="16.5" customHeight="1">
      <c r="A79" s="38">
        <v>290.41</v>
      </c>
      <c r="B79" s="22" t="s">
        <v>32</v>
      </c>
      <c r="C79" s="38">
        <v>290.41</v>
      </c>
      <c r="D79" s="49">
        <f t="shared" si="12"/>
        <v>296.21</v>
      </c>
      <c r="E79" s="25">
        <f t="shared" si="9"/>
        <v>1.9971764057711352</v>
      </c>
      <c r="F79" s="25">
        <f t="shared" si="10"/>
        <v>5.7999999999999545</v>
      </c>
      <c r="G79" s="28"/>
      <c r="H79" s="28">
        <f t="shared" si="11"/>
        <v>1.9971764057711283</v>
      </c>
    </row>
    <row r="80" spans="1:8" ht="16.5" customHeight="1">
      <c r="A80" s="38">
        <v>297.94</v>
      </c>
      <c r="B80" s="22" t="s">
        <v>33</v>
      </c>
      <c r="C80" s="38">
        <v>297.94</v>
      </c>
      <c r="D80" s="49">
        <f t="shared" si="12"/>
        <v>303.89</v>
      </c>
      <c r="E80" s="25">
        <f t="shared" si="9"/>
        <v>1.99704638517822</v>
      </c>
      <c r="F80" s="25">
        <f t="shared" si="10"/>
        <v>5.949999999999989</v>
      </c>
      <c r="G80" s="28"/>
      <c r="H80" s="28">
        <f t="shared" si="11"/>
        <v>1.9970463851782085</v>
      </c>
    </row>
    <row r="81" spans="1:8" ht="16.5" customHeight="1">
      <c r="A81" s="38">
        <v>303.61</v>
      </c>
      <c r="B81" s="22" t="s">
        <v>34</v>
      </c>
      <c r="C81" s="38">
        <v>303.61</v>
      </c>
      <c r="D81" s="49">
        <f t="shared" si="12"/>
        <v>309.68</v>
      </c>
      <c r="E81" s="25">
        <f t="shared" si="9"/>
        <v>1.9992753861862234</v>
      </c>
      <c r="F81" s="25">
        <f t="shared" si="10"/>
        <v>6.069999999999993</v>
      </c>
      <c r="G81" s="28"/>
      <c r="H81" s="28">
        <f t="shared" si="11"/>
        <v>1.999275386186227</v>
      </c>
    </row>
    <row r="82" spans="1:8" ht="16.5" customHeight="1">
      <c r="A82" s="38">
        <v>313.49</v>
      </c>
      <c r="B82" s="22" t="s">
        <v>35</v>
      </c>
      <c r="C82" s="38">
        <v>313.49</v>
      </c>
      <c r="D82" s="49">
        <f t="shared" si="12"/>
        <v>319.75</v>
      </c>
      <c r="E82" s="25">
        <f t="shared" si="9"/>
        <v>1.9968739034737921</v>
      </c>
      <c r="F82" s="25">
        <f t="shared" si="10"/>
        <v>6.259999999999991</v>
      </c>
      <c r="G82" s="28"/>
      <c r="H82" s="28">
        <f t="shared" si="11"/>
        <v>1.9968739034737837</v>
      </c>
    </row>
    <row r="83" spans="1:8" ht="16.5" customHeight="1">
      <c r="A83" s="38">
        <v>321.75</v>
      </c>
      <c r="B83" s="22" t="s">
        <v>36</v>
      </c>
      <c r="C83" s="38">
        <v>321.75</v>
      </c>
      <c r="D83" s="49">
        <f t="shared" si="12"/>
        <v>328.18</v>
      </c>
      <c r="E83" s="25">
        <f t="shared" si="9"/>
        <v>1.9984459984460006</v>
      </c>
      <c r="F83" s="25">
        <f t="shared" si="10"/>
        <v>6.430000000000007</v>
      </c>
      <c r="G83" s="28"/>
      <c r="H83" s="28">
        <f t="shared" si="11"/>
        <v>1.9984459984460017</v>
      </c>
    </row>
    <row r="84" spans="1:8" ht="16.5" customHeight="1">
      <c r="A84" s="38">
        <v>327.9</v>
      </c>
      <c r="B84" s="22" t="s">
        <v>37</v>
      </c>
      <c r="C84" s="38">
        <v>327.9</v>
      </c>
      <c r="D84" s="49">
        <f t="shared" si="12"/>
        <v>334.45</v>
      </c>
      <c r="E84" s="25">
        <f t="shared" si="9"/>
        <v>1.9975602317779848</v>
      </c>
      <c r="F84" s="25">
        <f t="shared" si="10"/>
        <v>6.550000000000011</v>
      </c>
      <c r="G84" s="28"/>
      <c r="H84" s="28">
        <f t="shared" si="11"/>
        <v>1.997560231777996</v>
      </c>
    </row>
    <row r="85" spans="1:8" ht="16.5" customHeight="1">
      <c r="A85" s="38">
        <v>331.14</v>
      </c>
      <c r="B85" s="22" t="s">
        <v>38</v>
      </c>
      <c r="C85" s="38">
        <v>331.14</v>
      </c>
      <c r="D85" s="49">
        <f t="shared" si="12"/>
        <v>337.76</v>
      </c>
      <c r="E85" s="25">
        <f t="shared" si="9"/>
        <v>1.9991544361901326</v>
      </c>
      <c r="F85" s="25">
        <f t="shared" si="10"/>
        <v>6.6200000000000045</v>
      </c>
      <c r="G85" s="28"/>
      <c r="H85" s="28">
        <f t="shared" si="11"/>
        <v>1.999154436190139</v>
      </c>
    </row>
    <row r="86" spans="1:8" ht="16.5" customHeight="1">
      <c r="A86" s="38">
        <v>361.83</v>
      </c>
      <c r="B86" s="22" t="s">
        <v>39</v>
      </c>
      <c r="C86" s="38">
        <v>361.83</v>
      </c>
      <c r="D86" s="49">
        <f t="shared" si="12"/>
        <v>369.06</v>
      </c>
      <c r="E86" s="25">
        <f t="shared" si="9"/>
        <v>1.9981759389768727</v>
      </c>
      <c r="F86" s="25">
        <f t="shared" si="10"/>
        <v>7.230000000000018</v>
      </c>
      <c r="G86" s="28"/>
      <c r="H86" s="28">
        <f t="shared" si="11"/>
        <v>1.9981759389768712</v>
      </c>
    </row>
    <row r="87" spans="1:8" ht="16.5" customHeight="1">
      <c r="A87" s="38">
        <v>399.52</v>
      </c>
      <c r="B87" s="22" t="s">
        <v>40</v>
      </c>
      <c r="C87" s="38">
        <v>399.52</v>
      </c>
      <c r="D87" s="49">
        <f t="shared" si="12"/>
        <v>407.51</v>
      </c>
      <c r="E87" s="25">
        <f t="shared" si="9"/>
        <v>1.9998998798558294</v>
      </c>
      <c r="F87" s="25">
        <f t="shared" si="10"/>
        <v>7.990000000000009</v>
      </c>
      <c r="G87" s="28"/>
      <c r="H87" s="28">
        <f t="shared" si="11"/>
        <v>1.9998998798558318</v>
      </c>
    </row>
    <row r="88" spans="1:8" ht="16.5" customHeight="1">
      <c r="A88" s="38">
        <v>422.67</v>
      </c>
      <c r="B88" s="22" t="s">
        <v>41</v>
      </c>
      <c r="C88" s="38">
        <v>422.67</v>
      </c>
      <c r="D88" s="49">
        <f t="shared" si="12"/>
        <v>431.12</v>
      </c>
      <c r="E88" s="25">
        <f t="shared" si="9"/>
        <v>1.9991955899401397</v>
      </c>
      <c r="F88" s="25">
        <f t="shared" si="10"/>
        <v>8.449999999999989</v>
      </c>
      <c r="G88" s="28"/>
      <c r="H88" s="28">
        <f t="shared" si="11"/>
        <v>1.9991955899401432</v>
      </c>
    </row>
    <row r="89" spans="1:8" ht="16.5" customHeight="1">
      <c r="A89" s="38">
        <v>441.51</v>
      </c>
      <c r="B89" s="22" t="s">
        <v>42</v>
      </c>
      <c r="C89" s="38">
        <v>441.51</v>
      </c>
      <c r="D89" s="49">
        <f t="shared" si="12"/>
        <v>450.34</v>
      </c>
      <c r="E89" s="25">
        <f t="shared" si="9"/>
        <v>1.999954700912773</v>
      </c>
      <c r="F89" s="25">
        <f t="shared" si="10"/>
        <v>8.829999999999984</v>
      </c>
      <c r="G89" s="28"/>
      <c r="H89" s="28">
        <f t="shared" si="11"/>
        <v>1.9999547009127667</v>
      </c>
    </row>
    <row r="90" spans="1:8" ht="16.5" customHeight="1">
      <c r="A90" s="38">
        <v>448.31</v>
      </c>
      <c r="B90" s="22" t="s">
        <v>43</v>
      </c>
      <c r="C90" s="38">
        <v>448.31</v>
      </c>
      <c r="D90" s="49">
        <f t="shared" si="12"/>
        <v>457.27</v>
      </c>
      <c r="E90" s="25">
        <f aca="true" t="shared" si="13" ref="E90:E113">((D90-C90)*100)/C90</f>
        <v>1.9986170283955254</v>
      </c>
      <c r="F90" s="25">
        <f aca="true" t="shared" si="14" ref="F90:F113">D90-C90</f>
        <v>8.95999999999998</v>
      </c>
      <c r="G90" s="28"/>
      <c r="H90" s="28">
        <f aca="true" t="shared" si="15" ref="H90:H111">D90/C90*100-100</f>
        <v>1.998617028395529</v>
      </c>
    </row>
    <row r="91" spans="1:8" ht="16.5" customHeight="1">
      <c r="A91" s="38">
        <v>463.01</v>
      </c>
      <c r="B91" s="22" t="s">
        <v>44</v>
      </c>
      <c r="C91" s="38">
        <v>463.01</v>
      </c>
      <c r="D91" s="49">
        <f t="shared" si="12"/>
        <v>472.27</v>
      </c>
      <c r="E91" s="25">
        <f t="shared" si="13"/>
        <v>1.9999568043886722</v>
      </c>
      <c r="F91" s="25">
        <f t="shared" si="14"/>
        <v>9.259999999999991</v>
      </c>
      <c r="G91" s="28"/>
      <c r="H91" s="28">
        <f t="shared" si="15"/>
        <v>1.999956804388674</v>
      </c>
    </row>
    <row r="92" spans="1:8" ht="16.5" customHeight="1">
      <c r="A92" s="38">
        <v>477.21</v>
      </c>
      <c r="B92" s="22" t="s">
        <v>45</v>
      </c>
      <c r="C92" s="38">
        <v>477.21</v>
      </c>
      <c r="D92" s="49">
        <f t="shared" si="12"/>
        <v>486.75</v>
      </c>
      <c r="E92" s="25">
        <f t="shared" si="13"/>
        <v>1.999119884327659</v>
      </c>
      <c r="F92" s="25">
        <f t="shared" si="14"/>
        <v>9.54000000000002</v>
      </c>
      <c r="G92" s="28"/>
      <c r="H92" s="28">
        <f t="shared" si="15"/>
        <v>1.999119884327655</v>
      </c>
    </row>
    <row r="93" spans="1:8" ht="16.5" customHeight="1">
      <c r="A93" s="38">
        <v>485.43</v>
      </c>
      <c r="B93" s="22" t="s">
        <v>46</v>
      </c>
      <c r="C93" s="38">
        <v>485.43</v>
      </c>
      <c r="D93" s="49">
        <f t="shared" si="12"/>
        <v>495.13</v>
      </c>
      <c r="E93" s="25">
        <f t="shared" si="13"/>
        <v>1.9982283748429204</v>
      </c>
      <c r="F93" s="25">
        <f t="shared" si="14"/>
        <v>9.699999999999989</v>
      </c>
      <c r="G93" s="28"/>
      <c r="H93" s="28">
        <f t="shared" si="15"/>
        <v>1.9982283748429097</v>
      </c>
    </row>
    <row r="94" spans="1:8" ht="16.5" customHeight="1">
      <c r="A94" s="38">
        <v>541.66</v>
      </c>
      <c r="B94" s="22" t="s">
        <v>47</v>
      </c>
      <c r="C94" s="38">
        <v>541.66</v>
      </c>
      <c r="D94" s="49">
        <f t="shared" si="12"/>
        <v>552.49</v>
      </c>
      <c r="E94" s="25">
        <f t="shared" si="13"/>
        <v>1.999409223498143</v>
      </c>
      <c r="F94" s="25">
        <f t="shared" si="14"/>
        <v>10.830000000000041</v>
      </c>
      <c r="G94" s="28"/>
      <c r="H94" s="28">
        <f t="shared" si="15"/>
        <v>1.999409223498148</v>
      </c>
    </row>
    <row r="95" spans="1:8" ht="16.5" customHeight="1">
      <c r="A95" s="38">
        <v>551.27</v>
      </c>
      <c r="B95" s="22" t="s">
        <v>48</v>
      </c>
      <c r="C95" s="38">
        <v>551.27</v>
      </c>
      <c r="D95" s="49">
        <f t="shared" si="12"/>
        <v>562.29</v>
      </c>
      <c r="E95" s="25">
        <f t="shared" si="13"/>
        <v>1.9990204437027195</v>
      </c>
      <c r="F95" s="25">
        <f t="shared" si="14"/>
        <v>11.019999999999982</v>
      </c>
      <c r="G95" s="28"/>
      <c r="H95" s="28">
        <f t="shared" si="15"/>
        <v>1.999020443702733</v>
      </c>
    </row>
    <row r="96" spans="1:8" ht="16.5" customHeight="1">
      <c r="A96" s="38">
        <v>584.6</v>
      </c>
      <c r="B96" s="22" t="s">
        <v>49</v>
      </c>
      <c r="C96" s="38">
        <v>584.6</v>
      </c>
      <c r="D96" s="49">
        <f t="shared" si="12"/>
        <v>596.29</v>
      </c>
      <c r="E96" s="25">
        <f t="shared" si="13"/>
        <v>1.999657885733825</v>
      </c>
      <c r="F96" s="25">
        <f t="shared" si="14"/>
        <v>11.68999999999994</v>
      </c>
      <c r="G96" s="28"/>
      <c r="H96" s="28">
        <f t="shared" si="15"/>
        <v>1.999657885733825</v>
      </c>
    </row>
    <row r="97" spans="1:8" ht="16.5" customHeight="1">
      <c r="A97" s="38">
        <v>744.09</v>
      </c>
      <c r="B97" s="22" t="s">
        <v>50</v>
      </c>
      <c r="C97" s="38">
        <v>744.09</v>
      </c>
      <c r="D97" s="49">
        <f t="shared" si="12"/>
        <v>758.97</v>
      </c>
      <c r="E97" s="25">
        <f t="shared" si="13"/>
        <v>1.9997580937789776</v>
      </c>
      <c r="F97" s="25">
        <f t="shared" si="14"/>
        <v>14.879999999999995</v>
      </c>
      <c r="G97" s="28"/>
      <c r="H97" s="28">
        <f t="shared" si="15"/>
        <v>1.999758093778965</v>
      </c>
    </row>
    <row r="98" spans="1:8" ht="16.5" customHeight="1">
      <c r="A98" s="38">
        <v>769.51</v>
      </c>
      <c r="B98" s="22" t="s">
        <v>51</v>
      </c>
      <c r="C98" s="38">
        <v>769.51</v>
      </c>
      <c r="D98" s="49">
        <f t="shared" si="12"/>
        <v>784.9</v>
      </c>
      <c r="E98" s="25">
        <f t="shared" si="13"/>
        <v>1.9999740094345735</v>
      </c>
      <c r="F98" s="25">
        <f t="shared" si="14"/>
        <v>15.389999999999986</v>
      </c>
      <c r="G98" s="28"/>
      <c r="H98" s="28">
        <f t="shared" si="15"/>
        <v>1.9999740094345668</v>
      </c>
    </row>
    <row r="99" spans="1:8" ht="16.5" customHeight="1">
      <c r="A99" s="38">
        <v>813.15</v>
      </c>
      <c r="B99" s="22" t="s">
        <v>52</v>
      </c>
      <c r="C99" s="38">
        <v>813.15</v>
      </c>
      <c r="D99" s="49">
        <f t="shared" si="12"/>
        <v>829.41</v>
      </c>
      <c r="E99" s="25">
        <f t="shared" si="13"/>
        <v>1.9996310643792647</v>
      </c>
      <c r="F99" s="25">
        <f t="shared" si="14"/>
        <v>16.25999999999999</v>
      </c>
      <c r="G99" s="28"/>
      <c r="H99" s="28">
        <f t="shared" si="15"/>
        <v>1.9996310643792583</v>
      </c>
    </row>
    <row r="100" spans="1:8" ht="16.5" customHeight="1">
      <c r="A100" s="38">
        <v>861.04</v>
      </c>
      <c r="B100" s="22" t="s">
        <v>53</v>
      </c>
      <c r="C100" s="38">
        <v>861.04</v>
      </c>
      <c r="D100" s="49">
        <f t="shared" si="12"/>
        <v>878.26</v>
      </c>
      <c r="E100" s="25">
        <f t="shared" si="13"/>
        <v>1.999907089101555</v>
      </c>
      <c r="F100" s="25">
        <f t="shared" si="14"/>
        <v>17.220000000000027</v>
      </c>
      <c r="G100" s="28"/>
      <c r="H100" s="28">
        <f t="shared" si="15"/>
        <v>1.999907089101555</v>
      </c>
    </row>
    <row r="101" spans="1:8" ht="16.5" customHeight="1">
      <c r="A101" s="38">
        <v>982.37</v>
      </c>
      <c r="B101" s="22" t="s">
        <v>54</v>
      </c>
      <c r="C101" s="38">
        <v>982.37</v>
      </c>
      <c r="D101" s="49">
        <f t="shared" si="12"/>
        <v>1002.01</v>
      </c>
      <c r="E101" s="25">
        <f t="shared" si="13"/>
        <v>1.9992467196677408</v>
      </c>
      <c r="F101" s="25">
        <f t="shared" si="14"/>
        <v>19.639999999999986</v>
      </c>
      <c r="G101" s="28"/>
      <c r="H101" s="28">
        <f t="shared" si="15"/>
        <v>1.9992467196677381</v>
      </c>
    </row>
    <row r="102" spans="1:8" ht="16.5" customHeight="1">
      <c r="A102" s="38">
        <v>987.02</v>
      </c>
      <c r="B102" s="22" t="s">
        <v>55</v>
      </c>
      <c r="C102" s="38">
        <v>987.02</v>
      </c>
      <c r="D102" s="49">
        <f t="shared" si="12"/>
        <v>1006.76</v>
      </c>
      <c r="E102" s="25">
        <f t="shared" si="13"/>
        <v>1.9999594739721596</v>
      </c>
      <c r="F102" s="25">
        <f t="shared" si="14"/>
        <v>19.74000000000001</v>
      </c>
      <c r="G102" s="28"/>
      <c r="H102" s="28">
        <f t="shared" si="15"/>
        <v>1.9999594739721545</v>
      </c>
    </row>
    <row r="103" spans="1:8" ht="16.5" customHeight="1">
      <c r="A103" s="38">
        <v>1032.93</v>
      </c>
      <c r="B103" s="22" t="s">
        <v>56</v>
      </c>
      <c r="C103" s="38">
        <v>1032.93</v>
      </c>
      <c r="D103" s="49">
        <f t="shared" si="12"/>
        <v>1053.58</v>
      </c>
      <c r="E103" s="25">
        <f t="shared" si="13"/>
        <v>1.9991674169595095</v>
      </c>
      <c r="F103" s="25">
        <f t="shared" si="14"/>
        <v>20.649999999999864</v>
      </c>
      <c r="G103" s="28"/>
      <c r="H103" s="28">
        <f t="shared" si="15"/>
        <v>1.9991674169595086</v>
      </c>
    </row>
    <row r="104" spans="1:8" ht="16.5" customHeight="1">
      <c r="A104" s="38">
        <v>1200</v>
      </c>
      <c r="B104" s="22" t="s">
        <v>57</v>
      </c>
      <c r="C104" s="38">
        <v>1200</v>
      </c>
      <c r="D104" s="49">
        <f t="shared" si="12"/>
        <v>1224</v>
      </c>
      <c r="E104" s="25">
        <f t="shared" si="13"/>
        <v>2</v>
      </c>
      <c r="F104" s="25">
        <f t="shared" si="14"/>
        <v>24</v>
      </c>
      <c r="G104" s="28"/>
      <c r="H104" s="28">
        <f t="shared" si="15"/>
        <v>2</v>
      </c>
    </row>
    <row r="105" spans="1:8" ht="16.5" customHeight="1">
      <c r="A105" s="38">
        <v>1240.5</v>
      </c>
      <c r="B105" s="22" t="s">
        <v>58</v>
      </c>
      <c r="C105" s="38">
        <v>1240.5</v>
      </c>
      <c r="D105" s="49">
        <f t="shared" si="12"/>
        <v>1265.31</v>
      </c>
      <c r="E105" s="25">
        <f t="shared" si="13"/>
        <v>1.9999999999999956</v>
      </c>
      <c r="F105" s="25">
        <f t="shared" si="14"/>
        <v>24.809999999999945</v>
      </c>
      <c r="G105" s="28"/>
      <c r="H105" s="28">
        <f t="shared" si="15"/>
        <v>2</v>
      </c>
    </row>
    <row r="106" spans="1:8" ht="16.5" customHeight="1">
      <c r="A106" s="38">
        <v>1341.19</v>
      </c>
      <c r="B106" s="22" t="s">
        <v>59</v>
      </c>
      <c r="C106" s="38">
        <v>1341.19</v>
      </c>
      <c r="D106" s="49">
        <f t="shared" si="12"/>
        <v>1368.01</v>
      </c>
      <c r="E106" s="25">
        <f t="shared" si="13"/>
        <v>1.99971666952482</v>
      </c>
      <c r="F106" s="25">
        <f t="shared" si="14"/>
        <v>26.819999999999936</v>
      </c>
      <c r="G106" s="28"/>
      <c r="H106" s="28">
        <f t="shared" si="15"/>
        <v>1.9997166695248154</v>
      </c>
    </row>
    <row r="107" spans="1:8" ht="16.5" customHeight="1">
      <c r="A107" s="38">
        <v>1341.19</v>
      </c>
      <c r="B107" s="22" t="s">
        <v>60</v>
      </c>
      <c r="C107" s="38">
        <v>1341.19</v>
      </c>
      <c r="D107" s="49">
        <f t="shared" si="12"/>
        <v>1368.01</v>
      </c>
      <c r="E107" s="25">
        <f t="shared" si="13"/>
        <v>1.99971666952482</v>
      </c>
      <c r="F107" s="25">
        <f t="shared" si="14"/>
        <v>26.819999999999936</v>
      </c>
      <c r="G107" s="28"/>
      <c r="H107" s="28">
        <f t="shared" si="15"/>
        <v>1.9997166695248154</v>
      </c>
    </row>
    <row r="108" spans="1:8" ht="16.5" customHeight="1">
      <c r="A108" s="38">
        <v>2438</v>
      </c>
      <c r="B108" s="22" t="s">
        <v>61</v>
      </c>
      <c r="C108" s="38">
        <v>2438</v>
      </c>
      <c r="D108" s="49">
        <f t="shared" si="12"/>
        <v>2486.76</v>
      </c>
      <c r="E108" s="25">
        <f t="shared" si="13"/>
        <v>2.000000000000009</v>
      </c>
      <c r="F108" s="25">
        <f t="shared" si="14"/>
        <v>48.76000000000022</v>
      </c>
      <c r="G108" s="28"/>
      <c r="H108" s="28">
        <f t="shared" si="15"/>
        <v>2</v>
      </c>
    </row>
    <row r="109" spans="1:8" ht="16.5" customHeight="1">
      <c r="A109" s="38">
        <v>2500</v>
      </c>
      <c r="B109" s="22" t="s">
        <v>62</v>
      </c>
      <c r="C109" s="38">
        <v>2500</v>
      </c>
      <c r="D109" s="49">
        <f>C109</f>
        <v>2500</v>
      </c>
      <c r="E109" s="25">
        <f t="shared" si="13"/>
        <v>0</v>
      </c>
      <c r="F109" s="25">
        <f t="shared" si="14"/>
        <v>0</v>
      </c>
      <c r="G109" s="28"/>
      <c r="H109" s="28">
        <f t="shared" si="15"/>
        <v>0</v>
      </c>
    </row>
    <row r="110" spans="1:8" ht="16.5" customHeight="1">
      <c r="A110" s="38">
        <v>2517</v>
      </c>
      <c r="B110" s="22" t="s">
        <v>63</v>
      </c>
      <c r="C110" s="38">
        <v>2517</v>
      </c>
      <c r="D110" s="49">
        <f>C110</f>
        <v>2517</v>
      </c>
      <c r="E110" s="25">
        <f t="shared" si="13"/>
        <v>0</v>
      </c>
      <c r="F110" s="25">
        <f t="shared" si="14"/>
        <v>0</v>
      </c>
      <c r="G110" s="28"/>
      <c r="H110" s="28">
        <f t="shared" si="15"/>
        <v>0</v>
      </c>
    </row>
    <row r="111" spans="1:8" ht="16.5" customHeight="1">
      <c r="A111" s="38">
        <v>3180</v>
      </c>
      <c r="B111" s="22" t="s">
        <v>64</v>
      </c>
      <c r="C111" s="38">
        <v>3180</v>
      </c>
      <c r="D111" s="49">
        <f>C111</f>
        <v>3180</v>
      </c>
      <c r="E111" s="25">
        <f t="shared" si="13"/>
        <v>0</v>
      </c>
      <c r="F111" s="25">
        <f t="shared" si="14"/>
        <v>0</v>
      </c>
      <c r="G111" s="28"/>
      <c r="H111" s="28">
        <f t="shared" si="15"/>
        <v>0</v>
      </c>
    </row>
    <row r="112" spans="1:8" ht="16.5" customHeight="1">
      <c r="A112" s="38">
        <v>3000</v>
      </c>
      <c r="B112" s="22" t="s">
        <v>65</v>
      </c>
      <c r="C112" s="38">
        <v>3000</v>
      </c>
      <c r="D112" s="49">
        <f>C112</f>
        <v>3000</v>
      </c>
      <c r="E112" s="25">
        <f t="shared" si="13"/>
        <v>0</v>
      </c>
      <c r="F112" s="25">
        <f t="shared" si="14"/>
        <v>0</v>
      </c>
      <c r="G112" s="28"/>
      <c r="H112" s="28"/>
    </row>
    <row r="113" spans="1:8" ht="16.5" customHeight="1">
      <c r="A113" s="38">
        <v>7000</v>
      </c>
      <c r="B113" s="22" t="s">
        <v>66</v>
      </c>
      <c r="C113" s="38">
        <v>7000</v>
      </c>
      <c r="D113" s="49">
        <f>C113</f>
        <v>7000</v>
      </c>
      <c r="E113" s="25">
        <f t="shared" si="13"/>
        <v>0</v>
      </c>
      <c r="F113" s="25">
        <f t="shared" si="14"/>
        <v>0</v>
      </c>
      <c r="G113" s="28"/>
      <c r="H113" s="28"/>
    </row>
  </sheetData>
  <mergeCells count="2">
    <mergeCell ref="A2:C2"/>
    <mergeCell ref="D2:F2"/>
  </mergeCells>
  <printOptions/>
  <pageMargins left="0.75" right="0.75" top="1" bottom="1" header="0.492125985" footer="0.49212598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workbookViewId="0" topLeftCell="A1">
      <pane xSplit="1" ySplit="2" topLeftCell="A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19" sqref="AI19"/>
    </sheetView>
  </sheetViews>
  <sheetFormatPr defaultColWidth="9.140625" defaultRowHeight="12.75"/>
  <cols>
    <col min="1" max="1" width="9.140625" style="2" customWidth="1"/>
    <col min="2" max="2" width="11.28125" style="1" bestFit="1" customWidth="1"/>
    <col min="3" max="3" width="11.8515625" style="1" customWidth="1"/>
    <col min="4" max="5" width="10.00390625" style="10" customWidth="1"/>
    <col min="6" max="6" width="12.140625" style="0" customWidth="1"/>
    <col min="7" max="7" width="10.00390625" style="0" customWidth="1"/>
    <col min="8" max="8" width="12.00390625" style="1" customWidth="1"/>
    <col min="9" max="9" width="10.8515625" style="1" customWidth="1"/>
    <col min="10" max="10" width="13.421875" style="1" customWidth="1"/>
    <col min="11" max="11" width="9.140625" style="1" customWidth="1"/>
    <col min="12" max="12" width="12.7109375" style="0" customWidth="1"/>
    <col min="13" max="13" width="11.57421875" style="1" bestFit="1" customWidth="1"/>
    <col min="14" max="15" width="10.8515625" style="1" customWidth="1"/>
    <col min="16" max="16" width="10.421875" style="1" customWidth="1"/>
    <col min="17" max="17" width="11.421875" style="1" customWidth="1"/>
    <col min="18" max="18" width="10.7109375" style="0" customWidth="1"/>
    <col min="19" max="19" width="9.7109375" style="0" customWidth="1"/>
    <col min="20" max="20" width="11.140625" style="1" customWidth="1"/>
    <col min="21" max="21" width="9.140625" style="2" customWidth="1"/>
    <col min="22" max="22" width="10.28125" style="5" bestFit="1" customWidth="1"/>
    <col min="23" max="23" width="11.28125" style="1" customWidth="1"/>
    <col min="24" max="24" width="13.00390625" style="1" customWidth="1"/>
    <col min="25" max="25" width="10.28125" style="1" customWidth="1"/>
    <col min="26" max="26" width="12.421875" style="1" customWidth="1"/>
    <col min="27" max="27" width="16.140625" style="1" customWidth="1"/>
    <col min="28" max="28" width="14.00390625" style="1" customWidth="1"/>
    <col min="29" max="29" width="12.421875" style="1" customWidth="1"/>
    <col min="30" max="30" width="10.140625" style="1" customWidth="1"/>
    <col min="31" max="31" width="12.28125" style="1" customWidth="1"/>
    <col min="32" max="32" width="11.7109375" style="1" customWidth="1"/>
    <col min="33" max="33" width="12.57421875" style="7" customWidth="1"/>
  </cols>
  <sheetData>
    <row r="1" spans="2:5" ht="12.75">
      <c r="B1" s="4" t="s">
        <v>115</v>
      </c>
      <c r="C1" s="4"/>
      <c r="D1" s="10" t="s">
        <v>141</v>
      </c>
      <c r="E1" s="10" t="s">
        <v>141</v>
      </c>
    </row>
    <row r="2" spans="1:33" s="8" customFormat="1" ht="12.75">
      <c r="A2" s="6" t="s">
        <v>112</v>
      </c>
      <c r="B2" s="9" t="s">
        <v>113</v>
      </c>
      <c r="C2" s="9" t="s">
        <v>140</v>
      </c>
      <c r="D2" s="11" t="s">
        <v>114</v>
      </c>
      <c r="E2" s="11" t="s">
        <v>142</v>
      </c>
      <c r="F2" s="8" t="s">
        <v>116</v>
      </c>
      <c r="G2" s="8" t="s">
        <v>117</v>
      </c>
      <c r="H2" s="7" t="s">
        <v>118</v>
      </c>
      <c r="I2" s="7" t="s">
        <v>119</v>
      </c>
      <c r="J2" s="7" t="s">
        <v>120</v>
      </c>
      <c r="K2" s="9" t="s">
        <v>121</v>
      </c>
      <c r="L2" s="6" t="s">
        <v>122</v>
      </c>
      <c r="M2" s="9" t="s">
        <v>123</v>
      </c>
      <c r="N2" s="7" t="s">
        <v>124</v>
      </c>
      <c r="O2" s="7" t="s">
        <v>125</v>
      </c>
      <c r="P2" s="7" t="s">
        <v>126</v>
      </c>
      <c r="Q2" s="7" t="s">
        <v>127</v>
      </c>
      <c r="R2" s="6" t="s">
        <v>129</v>
      </c>
      <c r="S2" s="8" t="s">
        <v>130</v>
      </c>
      <c r="T2" s="7" t="s">
        <v>131</v>
      </c>
      <c r="U2" s="6" t="s">
        <v>132</v>
      </c>
      <c r="V2" s="9" t="s">
        <v>133</v>
      </c>
      <c r="W2" s="7" t="s">
        <v>134</v>
      </c>
      <c r="X2" s="7" t="s">
        <v>136</v>
      </c>
      <c r="Y2" s="7" t="s">
        <v>135</v>
      </c>
      <c r="Z2" s="9" t="s">
        <v>137</v>
      </c>
      <c r="AA2" s="9" t="s">
        <v>138</v>
      </c>
      <c r="AB2" s="9" t="s">
        <v>139</v>
      </c>
      <c r="AC2" s="9" t="s">
        <v>143</v>
      </c>
      <c r="AD2" s="7" t="s">
        <v>144</v>
      </c>
      <c r="AE2" s="7" t="s">
        <v>145</v>
      </c>
      <c r="AF2" s="9" t="s">
        <v>146</v>
      </c>
      <c r="AG2" s="9" t="s">
        <v>128</v>
      </c>
    </row>
    <row r="3" spans="1:33" ht="12.75">
      <c r="A3" s="2">
        <v>1</v>
      </c>
      <c r="B3" s="1">
        <v>877.72</v>
      </c>
      <c r="I3" s="1">
        <v>7000</v>
      </c>
      <c r="Z3" s="1">
        <v>2977.54</v>
      </c>
      <c r="AG3" s="7">
        <f>SUM(B3:AF3)</f>
        <v>10855.26</v>
      </c>
    </row>
    <row r="4" spans="1:33" ht="12.75">
      <c r="A4" s="2">
        <v>7</v>
      </c>
      <c r="B4" s="1">
        <v>9585.54</v>
      </c>
      <c r="F4">
        <v>190.78</v>
      </c>
      <c r="I4" s="1">
        <v>3000</v>
      </c>
      <c r="J4" s="1">
        <v>229.55</v>
      </c>
      <c r="K4" s="1">
        <v>273.79</v>
      </c>
      <c r="X4" s="1">
        <v>266.94</v>
      </c>
      <c r="Y4" s="1">
        <v>63.64</v>
      </c>
      <c r="Z4" s="1">
        <v>1714.32</v>
      </c>
      <c r="AD4" s="1">
        <v>163.95</v>
      </c>
      <c r="AF4" s="1">
        <v>442.35</v>
      </c>
      <c r="AG4" s="7">
        <f aca="true" t="shared" si="0" ref="AG4:AG57">SUM(B4:AF4)</f>
        <v>15930.860000000002</v>
      </c>
    </row>
    <row r="5" spans="1:33" ht="12.75">
      <c r="A5" s="2">
        <v>8</v>
      </c>
      <c r="Q5" s="1">
        <v>724.86</v>
      </c>
      <c r="AG5" s="7">
        <f t="shared" si="0"/>
        <v>724.86</v>
      </c>
    </row>
    <row r="6" spans="1:33" ht="12.75">
      <c r="A6" s="2">
        <v>20</v>
      </c>
      <c r="B6" s="1">
        <v>2595.4</v>
      </c>
      <c r="I6" s="1">
        <v>3000</v>
      </c>
      <c r="X6" s="1">
        <v>25.87</v>
      </c>
      <c r="Z6" s="1">
        <v>2345.92</v>
      </c>
      <c r="AF6" s="1">
        <v>84</v>
      </c>
      <c r="AG6" s="7">
        <f t="shared" si="0"/>
        <v>8051.19</v>
      </c>
    </row>
    <row r="7" spans="1:33" ht="12.75">
      <c r="A7" s="2">
        <v>29</v>
      </c>
      <c r="B7" s="1">
        <v>839.96</v>
      </c>
      <c r="K7" s="1">
        <v>63.41</v>
      </c>
      <c r="Y7" s="1">
        <v>20.99</v>
      </c>
      <c r="Z7" s="1">
        <v>225.56</v>
      </c>
      <c r="AF7" s="1">
        <v>84</v>
      </c>
      <c r="AG7" s="7">
        <f t="shared" si="0"/>
        <v>1233.92</v>
      </c>
    </row>
    <row r="8" spans="1:33" ht="12.75">
      <c r="A8" s="2">
        <v>39</v>
      </c>
      <c r="B8" s="1">
        <v>17103.21</v>
      </c>
      <c r="F8">
        <v>151.57</v>
      </c>
      <c r="I8" s="1">
        <v>3000</v>
      </c>
      <c r="J8" s="1">
        <v>119.69</v>
      </c>
      <c r="K8" s="1">
        <v>820.62</v>
      </c>
      <c r="M8" s="1">
        <v>68.91</v>
      </c>
      <c r="X8" s="1">
        <v>318.06</v>
      </c>
      <c r="Y8" s="1">
        <v>379.81</v>
      </c>
      <c r="Z8" s="1">
        <v>4827.16</v>
      </c>
      <c r="AE8" s="1">
        <v>1320</v>
      </c>
      <c r="AF8" s="1">
        <v>1559.81</v>
      </c>
      <c r="AG8" s="7">
        <f t="shared" si="0"/>
        <v>29668.84</v>
      </c>
    </row>
    <row r="9" spans="1:33" ht="12.75">
      <c r="A9" s="2">
        <v>40</v>
      </c>
      <c r="Q9" s="1">
        <v>2250.79</v>
      </c>
      <c r="AG9" s="7">
        <f t="shared" si="0"/>
        <v>2250.79</v>
      </c>
    </row>
    <row r="10" spans="1:33" ht="12.75">
      <c r="A10" s="2">
        <v>49</v>
      </c>
      <c r="B10" s="1">
        <v>0</v>
      </c>
      <c r="C10" s="1">
        <f>14.83+120.93+44.49+29.66+240.9+400.41+237.74+297.96+181.13+29.66+30.57+387.39+14.83+164.48+256.22+1665.24</f>
        <v>4116.44</v>
      </c>
      <c r="D10" s="10">
        <f>91.8+20.3+20.3+195.6+54.9+225.6+303.1+121.8+272.2+788+185+412.9+1879.5</f>
        <v>4571</v>
      </c>
      <c r="E10" s="10">
        <f>445.66+300</f>
        <v>745.6600000000001</v>
      </c>
      <c r="AG10" s="7">
        <f t="shared" si="0"/>
        <v>9433.099999999999</v>
      </c>
    </row>
    <row r="11" spans="1:33" ht="12.75">
      <c r="A11" s="2">
        <v>51</v>
      </c>
      <c r="AB11" s="1">
        <f>462+1254+1320+3234+132+792+2046+330+660+2178+8580</f>
        <v>20988</v>
      </c>
      <c r="AG11" s="7">
        <f t="shared" si="0"/>
        <v>20988</v>
      </c>
    </row>
    <row r="12" spans="1:33" ht="12.75">
      <c r="A12" s="2">
        <v>52</v>
      </c>
      <c r="B12" s="1">
        <v>45982.94</v>
      </c>
      <c r="H12" s="1">
        <v>5948.59</v>
      </c>
      <c r="J12" s="1">
        <v>2652.8</v>
      </c>
      <c r="M12" s="1">
        <v>4415</v>
      </c>
      <c r="N12" s="1">
        <v>624</v>
      </c>
      <c r="O12" s="1">
        <v>104</v>
      </c>
      <c r="P12" s="1">
        <v>851.74</v>
      </c>
      <c r="R12" s="1">
        <v>193.82</v>
      </c>
      <c r="S12">
        <v>560.69</v>
      </c>
      <c r="T12" s="1">
        <v>628.87</v>
      </c>
      <c r="U12" s="3">
        <v>206.99</v>
      </c>
      <c r="W12" s="1">
        <v>4163.41</v>
      </c>
      <c r="X12" s="1">
        <v>118</v>
      </c>
      <c r="AC12" s="1">
        <v>103.99</v>
      </c>
      <c r="AF12" s="1">
        <v>22198.12</v>
      </c>
      <c r="AG12" s="7">
        <f t="shared" si="0"/>
        <v>88752.96</v>
      </c>
    </row>
    <row r="13" spans="1:33" ht="12.75">
      <c r="A13" s="2">
        <v>64</v>
      </c>
      <c r="B13" s="1">
        <v>9647.64</v>
      </c>
      <c r="I13" s="1">
        <v>3000</v>
      </c>
      <c r="K13" s="1">
        <v>538.93</v>
      </c>
      <c r="M13" s="1">
        <v>166.26</v>
      </c>
      <c r="X13" s="1">
        <v>226.22</v>
      </c>
      <c r="Y13" s="1">
        <v>251.82</v>
      </c>
      <c r="Z13" s="1">
        <v>2797.04</v>
      </c>
      <c r="AF13" s="1">
        <v>810.63</v>
      </c>
      <c r="AG13" s="7">
        <f t="shared" si="0"/>
        <v>17438.54</v>
      </c>
    </row>
    <row r="14" spans="1:33" ht="12.75">
      <c r="A14" s="2">
        <v>65</v>
      </c>
      <c r="Q14" s="1">
        <v>1013.69</v>
      </c>
      <c r="AG14" s="7">
        <f t="shared" si="0"/>
        <v>1013.69</v>
      </c>
    </row>
    <row r="15" spans="1:33" ht="12.75">
      <c r="A15" s="2">
        <v>80</v>
      </c>
      <c r="B15" s="1">
        <v>12842.03</v>
      </c>
      <c r="F15">
        <v>120.84</v>
      </c>
      <c r="G15">
        <v>198.73</v>
      </c>
      <c r="I15" s="1">
        <v>3000</v>
      </c>
      <c r="K15" s="1">
        <v>299.47</v>
      </c>
      <c r="M15" s="1">
        <v>80.73</v>
      </c>
      <c r="N15" s="1">
        <v>416</v>
      </c>
      <c r="X15" s="1">
        <v>275.81</v>
      </c>
      <c r="Y15" s="1">
        <v>68.9</v>
      </c>
      <c r="Z15" s="1">
        <v>2255.68</v>
      </c>
      <c r="AF15" s="1">
        <v>1087.64</v>
      </c>
      <c r="AG15" s="7">
        <f t="shared" si="0"/>
        <v>20645.83</v>
      </c>
    </row>
    <row r="16" spans="1:33" ht="12.75">
      <c r="A16" s="2">
        <v>81</v>
      </c>
      <c r="Q16" s="1">
        <v>345.18</v>
      </c>
      <c r="AG16" s="7">
        <f t="shared" si="0"/>
        <v>345.18</v>
      </c>
    </row>
    <row r="17" spans="1:33" ht="12.75">
      <c r="A17" s="2">
        <v>85</v>
      </c>
      <c r="B17" s="1">
        <v>18020.75</v>
      </c>
      <c r="F17">
        <v>291.03</v>
      </c>
      <c r="G17">
        <v>718.71</v>
      </c>
      <c r="L17">
        <v>35.75</v>
      </c>
      <c r="N17" s="1">
        <v>156</v>
      </c>
      <c r="O17" s="1">
        <v>416</v>
      </c>
      <c r="X17" s="1">
        <v>330.14</v>
      </c>
      <c r="Y17" s="1">
        <v>176.26</v>
      </c>
      <c r="AF17" s="1">
        <v>1216.53</v>
      </c>
      <c r="AG17" s="7">
        <f t="shared" si="0"/>
        <v>21361.169999999995</v>
      </c>
    </row>
    <row r="18" spans="1:33" ht="12.75">
      <c r="A18" s="2">
        <v>86</v>
      </c>
      <c r="Q18" s="1">
        <v>1254.58</v>
      </c>
      <c r="AG18" s="7">
        <f t="shared" si="0"/>
        <v>1254.58</v>
      </c>
    </row>
    <row r="19" spans="1:33" ht="12.75">
      <c r="A19" s="2">
        <v>97</v>
      </c>
      <c r="B19" s="1">
        <v>3506.83</v>
      </c>
      <c r="F19">
        <v>29.73</v>
      </c>
      <c r="L19">
        <v>42.01</v>
      </c>
      <c r="Y19" s="1">
        <v>19.4</v>
      </c>
      <c r="Z19" s="1">
        <v>541.36</v>
      </c>
      <c r="AG19" s="7">
        <f t="shared" si="0"/>
        <v>4139.33</v>
      </c>
    </row>
    <row r="20" spans="1:33" ht="12.75">
      <c r="A20" s="2">
        <v>115</v>
      </c>
      <c r="B20" s="1">
        <v>4112.76</v>
      </c>
      <c r="F20">
        <v>138.89</v>
      </c>
      <c r="M20" s="1">
        <v>90.06</v>
      </c>
      <c r="X20" s="1">
        <v>72.29</v>
      </c>
      <c r="Y20" s="1">
        <v>45</v>
      </c>
      <c r="AF20" s="1">
        <v>255.17</v>
      </c>
      <c r="AG20" s="7">
        <f t="shared" si="0"/>
        <v>4714.170000000001</v>
      </c>
    </row>
    <row r="21" spans="1:33" ht="12.75">
      <c r="A21" s="2">
        <v>116</v>
      </c>
      <c r="Q21" s="1">
        <v>1025.73</v>
      </c>
      <c r="AG21" s="7">
        <f t="shared" si="0"/>
        <v>1025.73</v>
      </c>
    </row>
    <row r="22" spans="1:33" ht="12.75">
      <c r="A22" s="2">
        <v>120</v>
      </c>
      <c r="B22" s="1">
        <v>18005.3</v>
      </c>
      <c r="F22">
        <v>440.48</v>
      </c>
      <c r="I22" s="1">
        <v>3000</v>
      </c>
      <c r="K22" s="1">
        <v>128.42</v>
      </c>
      <c r="L22">
        <v>17.88</v>
      </c>
      <c r="X22" s="1">
        <v>162.81</v>
      </c>
      <c r="Y22" s="1">
        <v>258.34</v>
      </c>
      <c r="Z22" s="1">
        <v>225.56</v>
      </c>
      <c r="AF22" s="1">
        <v>609.95</v>
      </c>
      <c r="AG22" s="7">
        <f t="shared" si="0"/>
        <v>22848.74</v>
      </c>
    </row>
    <row r="23" spans="1:33" ht="12.75">
      <c r="A23" s="2">
        <v>121</v>
      </c>
      <c r="Q23" s="1">
        <v>814.18</v>
      </c>
      <c r="AG23" s="7">
        <f t="shared" si="0"/>
        <v>814.18</v>
      </c>
    </row>
    <row r="24" spans="1:33" ht="12.75">
      <c r="A24" s="2">
        <v>150</v>
      </c>
      <c r="B24" s="1">
        <v>2361.35</v>
      </c>
      <c r="AG24" s="7">
        <f t="shared" si="0"/>
        <v>2361.35</v>
      </c>
    </row>
    <row r="25" spans="1:33" ht="12.75">
      <c r="A25" s="2">
        <v>192</v>
      </c>
      <c r="B25" s="1">
        <v>0</v>
      </c>
      <c r="I25" s="1">
        <v>3000</v>
      </c>
      <c r="AG25" s="7">
        <f t="shared" si="0"/>
        <v>3000</v>
      </c>
    </row>
    <row r="26" spans="1:33" ht="12.75">
      <c r="A26" s="2">
        <v>195</v>
      </c>
      <c r="B26" s="1">
        <v>0</v>
      </c>
      <c r="C26" s="1">
        <v>270.11</v>
      </c>
      <c r="D26" s="10">
        <v>364</v>
      </c>
      <c r="AG26" s="7">
        <f t="shared" si="0"/>
        <v>634.11</v>
      </c>
    </row>
    <row r="27" spans="1:33" ht="15" customHeight="1">
      <c r="A27" s="2">
        <v>196</v>
      </c>
      <c r="B27" s="1">
        <v>12755.64</v>
      </c>
      <c r="F27">
        <v>185.48</v>
      </c>
      <c r="I27" s="1">
        <v>3000</v>
      </c>
      <c r="V27" s="5">
        <v>649.95</v>
      </c>
      <c r="X27" s="1">
        <v>393.83</v>
      </c>
      <c r="Y27" s="1">
        <v>175.57</v>
      </c>
      <c r="AA27" s="1">
        <v>649.95</v>
      </c>
      <c r="AC27" s="1">
        <v>64.99</v>
      </c>
      <c r="AF27" s="1">
        <v>947.36</v>
      </c>
      <c r="AG27" s="7">
        <f t="shared" si="0"/>
        <v>18822.770000000004</v>
      </c>
    </row>
    <row r="28" spans="1:33" ht="15" customHeight="1">
      <c r="A28" s="2">
        <v>197</v>
      </c>
      <c r="Q28" s="1">
        <v>2155.5</v>
      </c>
      <c r="AG28" s="7">
        <f t="shared" si="0"/>
        <v>2155.5</v>
      </c>
    </row>
    <row r="29" spans="1:33" ht="15" customHeight="1">
      <c r="A29" s="2">
        <v>206</v>
      </c>
      <c r="AB29" s="1">
        <v>1254</v>
      </c>
      <c r="AG29" s="7">
        <f t="shared" si="0"/>
        <v>1254</v>
      </c>
    </row>
    <row r="30" spans="1:33" ht="15" customHeight="1">
      <c r="A30" s="2">
        <v>210</v>
      </c>
      <c r="B30" s="1">
        <v>0</v>
      </c>
      <c r="C30" s="1">
        <v>224.26</v>
      </c>
      <c r="D30" s="10">
        <v>280.5</v>
      </c>
      <c r="AG30" s="7">
        <f t="shared" si="0"/>
        <v>504.76</v>
      </c>
    </row>
    <row r="31" spans="1:33" ht="12.75">
      <c r="A31" s="2">
        <v>211</v>
      </c>
      <c r="B31" s="1">
        <v>7500.49</v>
      </c>
      <c r="F31">
        <v>148.38</v>
      </c>
      <c r="AG31" s="7">
        <f t="shared" si="0"/>
        <v>7648.87</v>
      </c>
    </row>
    <row r="32" spans="1:33" ht="12.75">
      <c r="A32" s="2">
        <v>212</v>
      </c>
      <c r="Q32" s="1">
        <v>622.84</v>
      </c>
      <c r="AG32" s="7">
        <f t="shared" si="0"/>
        <v>622.84</v>
      </c>
    </row>
    <row r="33" spans="1:33" ht="12.75">
      <c r="A33" s="2">
        <v>215</v>
      </c>
      <c r="AB33" s="1">
        <v>594</v>
      </c>
      <c r="AG33" s="7">
        <f t="shared" si="0"/>
        <v>594</v>
      </c>
    </row>
    <row r="34" spans="1:33" ht="12.75">
      <c r="A34" s="2">
        <v>218</v>
      </c>
      <c r="B34" s="1">
        <v>0</v>
      </c>
      <c r="C34" s="1">
        <v>15.28</v>
      </c>
      <c r="D34" s="10">
        <v>14.3</v>
      </c>
      <c r="AG34" s="7">
        <f t="shared" si="0"/>
        <v>29.58</v>
      </c>
    </row>
    <row r="35" spans="1:33" ht="12.75">
      <c r="A35" s="2">
        <v>219</v>
      </c>
      <c r="B35" s="1">
        <v>1359.3</v>
      </c>
      <c r="X35" s="1">
        <v>27.32</v>
      </c>
      <c r="Y35" s="1">
        <v>16.56</v>
      </c>
      <c r="AF35" s="1">
        <v>214.19</v>
      </c>
      <c r="AG35" s="7">
        <f t="shared" si="0"/>
        <v>1617.37</v>
      </c>
    </row>
    <row r="36" spans="1:33" ht="12.75">
      <c r="A36" s="2">
        <v>246</v>
      </c>
      <c r="B36" s="1">
        <v>0</v>
      </c>
      <c r="C36" s="1">
        <v>2700.83</v>
      </c>
      <c r="D36" s="10">
        <v>798.5</v>
      </c>
      <c r="E36" s="10">
        <v>861.41</v>
      </c>
      <c r="AG36" s="7">
        <f t="shared" si="0"/>
        <v>4360.74</v>
      </c>
    </row>
    <row r="37" spans="1:33" ht="12.75">
      <c r="A37" s="2">
        <v>247</v>
      </c>
      <c r="B37" s="1">
        <v>79959.5</v>
      </c>
      <c r="L37">
        <v>1820.79</v>
      </c>
      <c r="S37">
        <v>72.87</v>
      </c>
      <c r="T37" s="1">
        <v>2140.32</v>
      </c>
      <c r="V37" s="5">
        <v>41392.53</v>
      </c>
      <c r="X37" s="1">
        <v>4025.92</v>
      </c>
      <c r="Y37" s="1">
        <v>2121.39</v>
      </c>
      <c r="AC37" s="1">
        <v>4237.31</v>
      </c>
      <c r="AD37" s="1">
        <v>15189.94</v>
      </c>
      <c r="AF37" s="1">
        <v>7435.63</v>
      </c>
      <c r="AG37" s="7">
        <f t="shared" si="0"/>
        <v>158396.2</v>
      </c>
    </row>
    <row r="38" spans="1:33" ht="12.75">
      <c r="A38" s="2">
        <v>250</v>
      </c>
      <c r="B38" s="1">
        <v>0</v>
      </c>
      <c r="C38" s="1">
        <v>1244.33</v>
      </c>
      <c r="D38" s="10">
        <v>2311.51</v>
      </c>
      <c r="AG38" s="7">
        <f t="shared" si="0"/>
        <v>3555.84</v>
      </c>
    </row>
    <row r="39" spans="1:33" ht="12.75">
      <c r="A39" s="2">
        <v>251</v>
      </c>
      <c r="B39" s="1">
        <v>57612.55</v>
      </c>
      <c r="F39">
        <v>1038.67</v>
      </c>
      <c r="L39">
        <v>380.64</v>
      </c>
      <c r="M39" s="1">
        <v>83.99</v>
      </c>
      <c r="X39" s="1">
        <v>1171.23</v>
      </c>
      <c r="Y39" s="1">
        <v>669.53</v>
      </c>
      <c r="AF39" s="1">
        <v>1893.48</v>
      </c>
      <c r="AG39" s="7">
        <f t="shared" si="0"/>
        <v>62850.090000000004</v>
      </c>
    </row>
    <row r="40" spans="1:33" ht="12.75">
      <c r="A40" s="2">
        <v>253</v>
      </c>
      <c r="Q40" s="1">
        <v>4303.83</v>
      </c>
      <c r="AG40" s="7">
        <f t="shared" si="0"/>
        <v>4303.83</v>
      </c>
    </row>
    <row r="41" spans="1:33" ht="12.75">
      <c r="A41" s="2">
        <v>255</v>
      </c>
      <c r="AB41" s="1">
        <v>2904</v>
      </c>
      <c r="AG41" s="7">
        <f t="shared" si="0"/>
        <v>2904</v>
      </c>
    </row>
    <row r="42" spans="1:33" ht="12.75">
      <c r="A42" s="2">
        <v>257</v>
      </c>
      <c r="B42" s="1">
        <v>0</v>
      </c>
      <c r="C42" s="1">
        <v>1216.69</v>
      </c>
      <c r="D42" s="10">
        <v>2171.1</v>
      </c>
      <c r="E42" s="10">
        <v>490.86</v>
      </c>
      <c r="AG42" s="7">
        <f t="shared" si="0"/>
        <v>3878.65</v>
      </c>
    </row>
    <row r="43" spans="1:33" ht="12.75">
      <c r="A43" s="2">
        <v>258</v>
      </c>
      <c r="B43" s="1">
        <v>65058.71</v>
      </c>
      <c r="F43">
        <v>554.29</v>
      </c>
      <c r="X43" s="1">
        <v>1306.62</v>
      </c>
      <c r="Y43" s="1">
        <v>650.08</v>
      </c>
      <c r="AC43" s="1">
        <v>379.13</v>
      </c>
      <c r="AD43" s="1">
        <v>3073.96</v>
      </c>
      <c r="AF43" s="1">
        <v>2368.24</v>
      </c>
      <c r="AG43" s="7">
        <f t="shared" si="0"/>
        <v>73391.03000000001</v>
      </c>
    </row>
    <row r="44" spans="1:33" ht="12.75">
      <c r="A44" s="2">
        <v>259</v>
      </c>
      <c r="Q44" s="1">
        <v>2156.79</v>
      </c>
      <c r="AG44" s="7">
        <f t="shared" si="0"/>
        <v>2156.79</v>
      </c>
    </row>
    <row r="45" spans="1:33" ht="12.75">
      <c r="A45" s="2">
        <v>264</v>
      </c>
      <c r="AB45" s="1">
        <v>2178</v>
      </c>
      <c r="AG45" s="7">
        <f t="shared" si="0"/>
        <v>2178</v>
      </c>
    </row>
    <row r="46" spans="1:33" ht="12.75">
      <c r="A46" s="2">
        <v>273</v>
      </c>
      <c r="B46" s="1">
        <v>0</v>
      </c>
      <c r="C46" s="1">
        <v>59.32</v>
      </c>
      <c r="D46" s="10">
        <v>20.3</v>
      </c>
      <c r="AG46" s="7">
        <f t="shared" si="0"/>
        <v>79.62</v>
      </c>
    </row>
    <row r="47" spans="1:33" ht="12.75">
      <c r="A47" s="2">
        <v>274</v>
      </c>
      <c r="B47" s="1">
        <v>3373.4</v>
      </c>
      <c r="X47" s="1">
        <v>212.38</v>
      </c>
      <c r="Y47" s="1">
        <v>70.55</v>
      </c>
      <c r="AF47" s="1">
        <v>337</v>
      </c>
      <c r="AG47" s="7">
        <f t="shared" si="0"/>
        <v>3993.3300000000004</v>
      </c>
    </row>
    <row r="48" spans="1:33" ht="12.75">
      <c r="A48" s="2">
        <v>283</v>
      </c>
      <c r="B48" s="1">
        <v>839.96</v>
      </c>
      <c r="X48" s="1">
        <v>39.22</v>
      </c>
      <c r="Y48" s="1">
        <v>41.98</v>
      </c>
      <c r="AF48" s="1">
        <v>167.99</v>
      </c>
      <c r="AG48" s="7">
        <f t="shared" si="0"/>
        <v>1089.15</v>
      </c>
    </row>
    <row r="49" spans="1:33" ht="12.75">
      <c r="A49" s="2">
        <v>301</v>
      </c>
      <c r="C49" s="1">
        <v>14.83</v>
      </c>
      <c r="AG49" s="7">
        <f t="shared" si="0"/>
        <v>14.83</v>
      </c>
    </row>
    <row r="50" spans="1:33" ht="12.75">
      <c r="A50" s="2">
        <v>302</v>
      </c>
      <c r="B50" s="1">
        <v>1083.81</v>
      </c>
      <c r="V50" s="5">
        <v>519.96</v>
      </c>
      <c r="Z50" s="1">
        <v>541.36</v>
      </c>
      <c r="AD50" s="1">
        <v>54.65</v>
      </c>
      <c r="AG50" s="7">
        <f t="shared" si="0"/>
        <v>2199.78</v>
      </c>
    </row>
    <row r="51" spans="1:33" ht="12.75">
      <c r="A51" s="2">
        <v>311</v>
      </c>
      <c r="B51" s="1">
        <v>5489.62</v>
      </c>
      <c r="F51">
        <v>75.75</v>
      </c>
      <c r="G51">
        <v>182.48</v>
      </c>
      <c r="I51" s="1">
        <v>3000</v>
      </c>
      <c r="M51" s="1">
        <v>169.66</v>
      </c>
      <c r="O51" s="1">
        <v>624</v>
      </c>
      <c r="X51" s="1">
        <v>173.24</v>
      </c>
      <c r="Y51" s="1">
        <v>35.96</v>
      </c>
      <c r="AF51" s="1">
        <v>732.05</v>
      </c>
      <c r="AG51" s="7">
        <f t="shared" si="0"/>
        <v>10482.759999999997</v>
      </c>
    </row>
    <row r="52" spans="1:33" ht="12.75">
      <c r="A52" s="2">
        <v>312</v>
      </c>
      <c r="Q52" s="1">
        <v>198.45</v>
      </c>
      <c r="AG52" s="7">
        <f t="shared" si="0"/>
        <v>198.45</v>
      </c>
    </row>
    <row r="53" spans="1:33" ht="12.75">
      <c r="A53" s="2">
        <v>338</v>
      </c>
      <c r="B53" s="1">
        <v>12386.55</v>
      </c>
      <c r="F53">
        <v>204.51</v>
      </c>
      <c r="G53">
        <v>427.39</v>
      </c>
      <c r="K53" s="1">
        <v>37.73</v>
      </c>
      <c r="N53" s="1">
        <v>208</v>
      </c>
      <c r="O53" s="1">
        <v>104</v>
      </c>
      <c r="X53" s="1">
        <v>236.73</v>
      </c>
      <c r="Y53" s="1">
        <v>112.88</v>
      </c>
      <c r="Z53" s="1">
        <v>1398.52</v>
      </c>
      <c r="AF53" s="1">
        <v>831.98</v>
      </c>
      <c r="AG53" s="7">
        <f t="shared" si="0"/>
        <v>15948.289999999997</v>
      </c>
    </row>
    <row r="54" spans="1:33" ht="12.75">
      <c r="A54" s="2">
        <v>339</v>
      </c>
      <c r="Q54" s="1">
        <v>1703.44</v>
      </c>
      <c r="AG54" s="7">
        <f t="shared" si="0"/>
        <v>1703.44</v>
      </c>
    </row>
    <row r="55" spans="1:33" ht="12.75">
      <c r="A55" s="2">
        <v>352</v>
      </c>
      <c r="B55" s="1">
        <v>41172.97</v>
      </c>
      <c r="F55">
        <v>532.97</v>
      </c>
      <c r="G55">
        <v>2251.67</v>
      </c>
      <c r="L55">
        <v>526.16</v>
      </c>
      <c r="M55" s="1">
        <v>62.42</v>
      </c>
      <c r="N55" s="1">
        <v>4264</v>
      </c>
      <c r="O55" s="1">
        <v>2704</v>
      </c>
      <c r="X55" s="1">
        <v>1641.16</v>
      </c>
      <c r="Y55" s="1">
        <v>679.04</v>
      </c>
      <c r="Z55" s="1">
        <v>162.48</v>
      </c>
      <c r="AF55" s="1">
        <v>3393.19</v>
      </c>
      <c r="AG55" s="7">
        <f t="shared" si="0"/>
        <v>57390.06000000001</v>
      </c>
    </row>
    <row r="56" spans="1:33" ht="12.75">
      <c r="A56" s="2">
        <v>353</v>
      </c>
      <c r="Q56" s="1">
        <v>7053.18</v>
      </c>
      <c r="AG56" s="7">
        <f t="shared" si="0"/>
        <v>7053.18</v>
      </c>
    </row>
    <row r="57" spans="1:33" s="8" customFormat="1" ht="12.75">
      <c r="A57" s="6" t="s">
        <v>128</v>
      </c>
      <c r="B57" s="7">
        <f aca="true" t="shared" si="1" ref="B57:P57">SUM(B3:B55)</f>
        <v>434073.93000000005</v>
      </c>
      <c r="C57" s="7">
        <f t="shared" si="1"/>
        <v>9862.09</v>
      </c>
      <c r="D57" s="12">
        <f t="shared" si="1"/>
        <v>10531.210000000001</v>
      </c>
      <c r="E57" s="12">
        <f t="shared" si="1"/>
        <v>2097.9300000000003</v>
      </c>
      <c r="F57" s="7">
        <f t="shared" si="1"/>
        <v>4103.370000000001</v>
      </c>
      <c r="G57" s="7">
        <f t="shared" si="1"/>
        <v>3778.98</v>
      </c>
      <c r="H57" s="7">
        <f t="shared" si="1"/>
        <v>5948.59</v>
      </c>
      <c r="I57" s="7">
        <f t="shared" si="1"/>
        <v>34000</v>
      </c>
      <c r="J57" s="7">
        <f t="shared" si="1"/>
        <v>3002.04</v>
      </c>
      <c r="K57" s="7">
        <f t="shared" si="1"/>
        <v>2162.37</v>
      </c>
      <c r="L57" s="7">
        <f t="shared" si="1"/>
        <v>2823.2299999999996</v>
      </c>
      <c r="M57" s="7">
        <f t="shared" si="1"/>
        <v>5137.03</v>
      </c>
      <c r="N57" s="7">
        <f t="shared" si="1"/>
        <v>5668</v>
      </c>
      <c r="O57" s="7">
        <f t="shared" si="1"/>
        <v>3952</v>
      </c>
      <c r="P57" s="7">
        <f t="shared" si="1"/>
        <v>851.74</v>
      </c>
      <c r="Q57" s="7">
        <f aca="true" t="shared" si="2" ref="Q57:AF57">SUM(Q3:Q56)</f>
        <v>25623.04</v>
      </c>
      <c r="R57" s="7">
        <f t="shared" si="2"/>
        <v>193.82</v>
      </c>
      <c r="S57" s="7">
        <f t="shared" si="2"/>
        <v>633.5600000000001</v>
      </c>
      <c r="T57" s="7">
        <f t="shared" si="2"/>
        <v>2769.19</v>
      </c>
      <c r="U57" s="7">
        <f t="shared" si="2"/>
        <v>206.99</v>
      </c>
      <c r="V57" s="7">
        <f t="shared" si="2"/>
        <v>42562.439999999995</v>
      </c>
      <c r="W57" s="7">
        <f t="shared" si="2"/>
        <v>4163.41</v>
      </c>
      <c r="X57" s="7">
        <f t="shared" si="2"/>
        <v>11023.789999999999</v>
      </c>
      <c r="Y57" s="7">
        <f t="shared" si="2"/>
        <v>5857.699999999999</v>
      </c>
      <c r="Z57" s="7">
        <f t="shared" si="2"/>
        <v>20012.500000000004</v>
      </c>
      <c r="AA57" s="7">
        <f t="shared" si="2"/>
        <v>649.95</v>
      </c>
      <c r="AB57" s="7">
        <f t="shared" si="2"/>
        <v>27918</v>
      </c>
      <c r="AC57" s="7">
        <f t="shared" si="2"/>
        <v>4785.42</v>
      </c>
      <c r="AD57" s="7">
        <f t="shared" si="2"/>
        <v>18482.500000000004</v>
      </c>
      <c r="AE57" s="7">
        <f t="shared" si="2"/>
        <v>1320</v>
      </c>
      <c r="AF57" s="7">
        <f t="shared" si="2"/>
        <v>46669.310000000005</v>
      </c>
      <c r="AG57" s="7">
        <f t="shared" si="0"/>
        <v>740864.13</v>
      </c>
    </row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7"/>
  <sheetViews>
    <sheetView workbookViewId="0" topLeftCell="A1">
      <pane xSplit="1" ySplit="2" topLeftCell="AC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G57" sqref="AG57"/>
    </sheetView>
  </sheetViews>
  <sheetFormatPr defaultColWidth="9.140625" defaultRowHeight="12.75"/>
  <cols>
    <col min="1" max="1" width="9.140625" style="2" customWidth="1"/>
    <col min="2" max="2" width="11.28125" style="14" bestFit="1" customWidth="1"/>
    <col min="3" max="3" width="11.8515625" style="14" customWidth="1"/>
    <col min="4" max="5" width="10.00390625" style="10" customWidth="1"/>
    <col min="6" max="6" width="12.140625" style="1" customWidth="1"/>
    <col min="7" max="7" width="10.00390625" style="0" customWidth="1"/>
    <col min="8" max="8" width="12.00390625" style="14" customWidth="1"/>
    <col min="9" max="9" width="10.8515625" style="14" customWidth="1"/>
    <col min="10" max="10" width="13.421875" style="14" customWidth="1"/>
    <col min="11" max="11" width="10.28125" style="14" bestFit="1" customWidth="1"/>
    <col min="12" max="12" width="12.7109375" style="1" customWidth="1"/>
    <col min="13" max="13" width="11.57421875" style="14" bestFit="1" customWidth="1"/>
    <col min="14" max="15" width="10.8515625" style="14" customWidth="1"/>
    <col min="16" max="16" width="10.421875" style="14" customWidth="1"/>
    <col min="17" max="17" width="11.421875" style="14" customWidth="1"/>
    <col min="18" max="18" width="10.7109375" style="0" customWidth="1"/>
    <col min="19" max="19" width="9.7109375" style="0" customWidth="1"/>
    <col min="20" max="20" width="11.140625" style="14" customWidth="1"/>
    <col min="21" max="21" width="9.28125" style="2" bestFit="1" customWidth="1"/>
    <col min="22" max="22" width="10.28125" style="15" bestFit="1" customWidth="1"/>
    <col min="23" max="23" width="11.28125" style="14" customWidth="1"/>
    <col min="24" max="24" width="13.00390625" style="14" customWidth="1"/>
    <col min="25" max="25" width="10.28125" style="14" customWidth="1"/>
    <col min="26" max="26" width="12.421875" style="14" customWidth="1"/>
    <col min="27" max="27" width="16.140625" style="14" customWidth="1"/>
    <col min="28" max="28" width="14.00390625" style="14" customWidth="1"/>
    <col min="29" max="29" width="12.421875" style="14" customWidth="1"/>
    <col min="30" max="30" width="10.140625" style="14" customWidth="1"/>
    <col min="31" max="31" width="12.28125" style="14" customWidth="1"/>
    <col min="32" max="32" width="11.7109375" style="14" customWidth="1"/>
    <col min="33" max="33" width="12.57421875" style="7" customWidth="1"/>
  </cols>
  <sheetData>
    <row r="1" spans="2:5" ht="12.75">
      <c r="B1" s="13" t="s">
        <v>115</v>
      </c>
      <c r="C1" s="13"/>
      <c r="D1" s="10" t="s">
        <v>141</v>
      </c>
      <c r="E1" s="10" t="s">
        <v>141</v>
      </c>
    </row>
    <row r="2" spans="1:33" s="8" customFormat="1" ht="12.75">
      <c r="A2" s="6" t="s">
        <v>112</v>
      </c>
      <c r="B2" s="9" t="s">
        <v>113</v>
      </c>
      <c r="C2" s="9" t="s">
        <v>140</v>
      </c>
      <c r="D2" s="11" t="s">
        <v>114</v>
      </c>
      <c r="E2" s="11" t="s">
        <v>142</v>
      </c>
      <c r="F2" s="7" t="s">
        <v>116</v>
      </c>
      <c r="G2" s="8" t="s">
        <v>117</v>
      </c>
      <c r="H2" s="7" t="s">
        <v>118</v>
      </c>
      <c r="I2" s="7" t="s">
        <v>119</v>
      </c>
      <c r="J2" s="7" t="s">
        <v>120</v>
      </c>
      <c r="K2" s="9" t="s">
        <v>121</v>
      </c>
      <c r="L2" s="9" t="s">
        <v>122</v>
      </c>
      <c r="M2" s="9" t="s">
        <v>123</v>
      </c>
      <c r="N2" s="7" t="s">
        <v>124</v>
      </c>
      <c r="O2" s="7" t="s">
        <v>125</v>
      </c>
      <c r="P2" s="7" t="s">
        <v>126</v>
      </c>
      <c r="Q2" s="7" t="s">
        <v>127</v>
      </c>
      <c r="R2" s="6" t="s">
        <v>129</v>
      </c>
      <c r="S2" s="8" t="s">
        <v>130</v>
      </c>
      <c r="T2" s="7" t="s">
        <v>131</v>
      </c>
      <c r="U2" s="6" t="s">
        <v>132</v>
      </c>
      <c r="V2" s="9" t="s">
        <v>133</v>
      </c>
      <c r="W2" s="7" t="s">
        <v>134</v>
      </c>
      <c r="X2" s="7" t="s">
        <v>136</v>
      </c>
      <c r="Y2" s="7" t="s">
        <v>135</v>
      </c>
      <c r="Z2" s="9" t="s">
        <v>137</v>
      </c>
      <c r="AA2" s="9" t="s">
        <v>138</v>
      </c>
      <c r="AB2" s="9" t="s">
        <v>139</v>
      </c>
      <c r="AC2" s="9" t="s">
        <v>143</v>
      </c>
      <c r="AD2" s="7" t="s">
        <v>144</v>
      </c>
      <c r="AE2" s="7" t="s">
        <v>145</v>
      </c>
      <c r="AF2" s="9" t="s">
        <v>146</v>
      </c>
      <c r="AG2" s="9" t="s">
        <v>128</v>
      </c>
    </row>
    <row r="3" spans="1:33" ht="12.75">
      <c r="A3" s="2">
        <v>1</v>
      </c>
      <c r="B3" s="14">
        <v>1070.83</v>
      </c>
      <c r="I3" s="14">
        <v>7000</v>
      </c>
      <c r="Z3" s="14">
        <v>1804.58</v>
      </c>
      <c r="AG3" s="7">
        <f aca="true" t="shared" si="0" ref="AG3:AG34">SUM(B3:AF3)</f>
        <v>9875.41</v>
      </c>
    </row>
    <row r="4" spans="1:33" ht="12.75">
      <c r="A4" s="2">
        <v>7</v>
      </c>
      <c r="B4" s="14">
        <v>9974.35</v>
      </c>
      <c r="F4" s="1">
        <v>238.47</v>
      </c>
      <c r="I4" s="14">
        <v>3000</v>
      </c>
      <c r="J4" s="14">
        <v>152.45</v>
      </c>
      <c r="K4" s="14">
        <v>394.67</v>
      </c>
      <c r="L4" s="14">
        <v>811.19</v>
      </c>
      <c r="N4" s="14">
        <v>360</v>
      </c>
      <c r="X4" s="14">
        <v>305.65</v>
      </c>
      <c r="Y4" s="14">
        <v>84.02</v>
      </c>
      <c r="Z4" s="14">
        <v>1714.32</v>
      </c>
      <c r="AB4" s="14">
        <v>110</v>
      </c>
      <c r="AD4" s="14">
        <v>163.95</v>
      </c>
      <c r="AF4" s="14">
        <v>442.35</v>
      </c>
      <c r="AG4" s="7">
        <f t="shared" si="0"/>
        <v>17751.420000000002</v>
      </c>
    </row>
    <row r="5" spans="1:33" ht="12.75">
      <c r="A5" s="2">
        <v>8</v>
      </c>
      <c r="Q5" s="14">
        <v>694.53</v>
      </c>
      <c r="AG5" s="7">
        <f t="shared" si="0"/>
        <v>694.53</v>
      </c>
    </row>
    <row r="6" spans="1:33" ht="12.75">
      <c r="A6" s="2">
        <v>20</v>
      </c>
      <c r="B6" s="14">
        <v>6473.12</v>
      </c>
      <c r="I6" s="14">
        <v>3000</v>
      </c>
      <c r="N6" s="14">
        <v>240</v>
      </c>
      <c r="Q6" s="14">
        <v>42.59</v>
      </c>
      <c r="U6" s="3">
        <v>1141.99</v>
      </c>
      <c r="X6" s="14">
        <v>25.87</v>
      </c>
      <c r="Z6" s="14">
        <v>3010.73</v>
      </c>
      <c r="AF6" s="14">
        <v>84</v>
      </c>
      <c r="AG6" s="7">
        <f t="shared" si="0"/>
        <v>14018.3</v>
      </c>
    </row>
    <row r="7" spans="1:33" ht="12.75">
      <c r="A7" s="2">
        <v>29</v>
      </c>
      <c r="B7" s="14">
        <v>839.96</v>
      </c>
      <c r="K7" s="14">
        <v>194.65</v>
      </c>
      <c r="Y7" s="14">
        <v>20.99</v>
      </c>
      <c r="Z7" s="14">
        <v>225.56</v>
      </c>
      <c r="AF7" s="14">
        <v>84</v>
      </c>
      <c r="AG7" s="7">
        <f t="shared" si="0"/>
        <v>1365.16</v>
      </c>
    </row>
    <row r="8" spans="1:33" ht="12.75">
      <c r="A8" s="2">
        <v>39</v>
      </c>
      <c r="B8" s="14">
        <v>17103.21</v>
      </c>
      <c r="F8" s="1">
        <v>150.81</v>
      </c>
      <c r="I8" s="14">
        <v>3000</v>
      </c>
      <c r="J8" s="14">
        <v>86.1</v>
      </c>
      <c r="K8" s="14">
        <v>1214.32</v>
      </c>
      <c r="M8" s="14">
        <v>150.41</v>
      </c>
      <c r="N8" s="14">
        <v>720</v>
      </c>
      <c r="X8" s="14">
        <v>318.06</v>
      </c>
      <c r="Y8" s="14">
        <v>399.21</v>
      </c>
      <c r="Z8" s="14">
        <v>4827.16</v>
      </c>
      <c r="AB8" s="14">
        <v>1100</v>
      </c>
      <c r="AE8" s="14">
        <v>1320</v>
      </c>
      <c r="AF8" s="14">
        <v>1559.81</v>
      </c>
      <c r="AG8" s="7">
        <f t="shared" si="0"/>
        <v>31949.09</v>
      </c>
    </row>
    <row r="9" spans="1:33" ht="12.75">
      <c r="A9" s="2">
        <v>40</v>
      </c>
      <c r="Q9" s="14">
        <v>1559.11</v>
      </c>
      <c r="AG9" s="7">
        <f t="shared" si="0"/>
        <v>1559.11</v>
      </c>
    </row>
    <row r="10" spans="1:33" ht="12.75">
      <c r="A10" s="2">
        <v>49</v>
      </c>
      <c r="B10" s="14">
        <v>0</v>
      </c>
      <c r="C10" s="14">
        <f>14.83+120.93+44.49+29.66+240.9+400.41+237.74+297.96+181.13+29.66+30.57+387.39+14.83+164.48+256.22+1665.24</f>
        <v>4116.44</v>
      </c>
      <c r="D10" s="10">
        <f>112.14+54.37+29.66+226.06+400.41+237.74+223.81+179.32+30.11+39.96+430.52+14.83+253.03+1613.47</f>
        <v>3845.4300000000003</v>
      </c>
      <c r="E10" s="10">
        <f>445.66+300</f>
        <v>745.6600000000001</v>
      </c>
      <c r="AG10" s="7">
        <f t="shared" si="0"/>
        <v>8707.53</v>
      </c>
    </row>
    <row r="11" spans="1:33" ht="12.75">
      <c r="A11" s="2">
        <v>51</v>
      </c>
      <c r="AG11" s="7">
        <f t="shared" si="0"/>
        <v>0</v>
      </c>
    </row>
    <row r="12" spans="1:33" ht="12.75">
      <c r="A12" s="2">
        <v>52</v>
      </c>
      <c r="B12" s="14">
        <v>45448.98</v>
      </c>
      <c r="H12" s="14">
        <v>5948.59</v>
      </c>
      <c r="J12" s="14">
        <v>3013.85</v>
      </c>
      <c r="L12" s="1">
        <v>411.75</v>
      </c>
      <c r="M12" s="14">
        <v>4352.29</v>
      </c>
      <c r="N12" s="14">
        <v>2460</v>
      </c>
      <c r="O12" s="14">
        <v>120</v>
      </c>
      <c r="P12" s="14">
        <v>851.74</v>
      </c>
      <c r="R12" s="14">
        <f>93.66+102.16</f>
        <v>195.82</v>
      </c>
      <c r="S12">
        <v>560.69</v>
      </c>
      <c r="T12" s="14">
        <v>702.49</v>
      </c>
      <c r="U12" s="16">
        <v>206.99</v>
      </c>
      <c r="W12" s="14">
        <v>4163.41</v>
      </c>
      <c r="X12" s="14">
        <v>118</v>
      </c>
      <c r="Z12" s="17">
        <v>796.19</v>
      </c>
      <c r="AC12" s="14">
        <v>103.99</v>
      </c>
      <c r="AF12" s="14">
        <v>22198.12</v>
      </c>
      <c r="AG12" s="7">
        <f t="shared" si="0"/>
        <v>91652.90000000001</v>
      </c>
    </row>
    <row r="13" spans="1:33" ht="12.75">
      <c r="A13" s="2">
        <v>64</v>
      </c>
      <c r="B13" s="14">
        <v>10067.62</v>
      </c>
      <c r="I13" s="14">
        <v>3000</v>
      </c>
      <c r="K13" s="14">
        <v>700.07</v>
      </c>
      <c r="M13" s="14">
        <v>166.26</v>
      </c>
      <c r="N13" s="14">
        <v>360</v>
      </c>
      <c r="X13" s="14">
        <v>226.22</v>
      </c>
      <c r="Y13" s="14">
        <v>251.82</v>
      </c>
      <c r="Z13" s="14">
        <v>2797.04</v>
      </c>
      <c r="AF13" s="14">
        <v>810.63</v>
      </c>
      <c r="AG13" s="7">
        <f t="shared" si="0"/>
        <v>18379.66</v>
      </c>
    </row>
    <row r="14" spans="1:33" ht="12.75">
      <c r="A14" s="2">
        <v>65</v>
      </c>
      <c r="Q14" s="14">
        <v>971.48</v>
      </c>
      <c r="AG14" s="7">
        <f t="shared" si="0"/>
        <v>971.48</v>
      </c>
    </row>
    <row r="15" spans="1:33" ht="12.75">
      <c r="A15" s="2">
        <v>80</v>
      </c>
      <c r="B15" s="14">
        <v>11697.55</v>
      </c>
      <c r="F15" s="1">
        <v>74.19</v>
      </c>
      <c r="G15">
        <v>198.73</v>
      </c>
      <c r="I15" s="14">
        <v>3000</v>
      </c>
      <c r="K15" s="14">
        <v>430.71</v>
      </c>
      <c r="L15" s="14">
        <v>396.22</v>
      </c>
      <c r="M15" s="14">
        <v>80.73</v>
      </c>
      <c r="N15" s="14">
        <v>780</v>
      </c>
      <c r="X15" s="14">
        <v>255.69</v>
      </c>
      <c r="Y15" s="14">
        <v>68.9</v>
      </c>
      <c r="Z15" s="14">
        <v>2255.68</v>
      </c>
      <c r="AB15" s="14">
        <v>1155</v>
      </c>
      <c r="AF15" s="14">
        <v>1087.64</v>
      </c>
      <c r="AG15" s="7">
        <f t="shared" si="0"/>
        <v>21481.039999999997</v>
      </c>
    </row>
    <row r="16" spans="1:33" ht="12.75">
      <c r="A16" s="2">
        <v>81</v>
      </c>
      <c r="Q16" s="14">
        <v>144.8</v>
      </c>
      <c r="AG16" s="7">
        <f t="shared" si="0"/>
        <v>144.8</v>
      </c>
    </row>
    <row r="17" spans="1:33" ht="12.75">
      <c r="A17" s="2">
        <v>85</v>
      </c>
      <c r="B17" s="14">
        <v>18770.19</v>
      </c>
      <c r="F17" s="1">
        <v>340.01</v>
      </c>
      <c r="G17">
        <v>718.71</v>
      </c>
      <c r="N17" s="14">
        <v>3180</v>
      </c>
      <c r="O17" s="14">
        <v>480</v>
      </c>
      <c r="X17" s="14">
        <v>350.26</v>
      </c>
      <c r="Y17" s="14">
        <v>176.26</v>
      </c>
      <c r="AB17" s="14">
        <v>2860</v>
      </c>
      <c r="AF17" s="14">
        <v>1216.53</v>
      </c>
      <c r="AG17" s="7">
        <f t="shared" si="0"/>
        <v>28091.959999999992</v>
      </c>
    </row>
    <row r="18" spans="1:33" ht="12.75">
      <c r="A18" s="2">
        <v>86</v>
      </c>
      <c r="Q18" s="14">
        <v>1120.46</v>
      </c>
      <c r="AG18" s="7">
        <f t="shared" si="0"/>
        <v>1120.46</v>
      </c>
    </row>
    <row r="19" spans="1:33" ht="12.75">
      <c r="A19" s="2">
        <v>97</v>
      </c>
      <c r="B19" s="14">
        <v>3926.81</v>
      </c>
      <c r="F19" s="1">
        <v>29.73</v>
      </c>
      <c r="N19" s="14">
        <v>60</v>
      </c>
      <c r="Y19" s="14">
        <v>19.4</v>
      </c>
      <c r="Z19" s="14">
        <v>541.36</v>
      </c>
      <c r="AB19" s="14">
        <v>55</v>
      </c>
      <c r="AG19" s="7">
        <f t="shared" si="0"/>
        <v>4632.3</v>
      </c>
    </row>
    <row r="20" spans="1:33" ht="12.75">
      <c r="A20" s="2">
        <v>115</v>
      </c>
      <c r="B20" s="14">
        <v>4443.97</v>
      </c>
      <c r="F20" s="1">
        <v>180.54</v>
      </c>
      <c r="M20" s="14">
        <v>90.06</v>
      </c>
      <c r="N20" s="14">
        <v>540</v>
      </c>
      <c r="X20" s="14">
        <v>72.29</v>
      </c>
      <c r="Y20" s="14">
        <v>45</v>
      </c>
      <c r="AB20" s="14">
        <v>715</v>
      </c>
      <c r="AF20" s="14">
        <v>255.17</v>
      </c>
      <c r="AG20" s="7">
        <f t="shared" si="0"/>
        <v>6342.030000000001</v>
      </c>
    </row>
    <row r="21" spans="1:33" ht="12.75">
      <c r="A21" s="2">
        <v>116</v>
      </c>
      <c r="Q21" s="14">
        <v>676.57</v>
      </c>
      <c r="AG21" s="7">
        <f t="shared" si="0"/>
        <v>676.57</v>
      </c>
    </row>
    <row r="22" spans="1:33" ht="12.75">
      <c r="A22" s="2">
        <v>120</v>
      </c>
      <c r="B22" s="14">
        <v>18036.26</v>
      </c>
      <c r="F22" s="1">
        <v>511.62</v>
      </c>
      <c r="I22" s="14">
        <v>3000</v>
      </c>
      <c r="K22" s="14">
        <v>131.03</v>
      </c>
      <c r="N22" s="14">
        <v>780</v>
      </c>
      <c r="X22" s="14">
        <v>162.81</v>
      </c>
      <c r="Y22" s="14">
        <v>258.34</v>
      </c>
      <c r="Z22" s="14">
        <v>541.36</v>
      </c>
      <c r="AB22" s="14">
        <v>1760</v>
      </c>
      <c r="AF22" s="14">
        <v>609.95</v>
      </c>
      <c r="AG22" s="7">
        <f t="shared" si="0"/>
        <v>25791.37</v>
      </c>
    </row>
    <row r="23" spans="1:33" ht="12.75">
      <c r="A23" s="2">
        <v>121</v>
      </c>
      <c r="Q23" s="14">
        <v>1091.24</v>
      </c>
      <c r="AG23" s="7">
        <f t="shared" si="0"/>
        <v>1091.24</v>
      </c>
    </row>
    <row r="24" spans="1:33" ht="12.75">
      <c r="A24" s="2">
        <v>150</v>
      </c>
      <c r="B24" s="14">
        <v>2361.35</v>
      </c>
      <c r="AB24" s="14">
        <v>165</v>
      </c>
      <c r="AG24" s="7">
        <f t="shared" si="0"/>
        <v>2526.35</v>
      </c>
    </row>
    <row r="25" spans="1:33" ht="12.75">
      <c r="A25" s="2">
        <v>192</v>
      </c>
      <c r="B25" s="14">
        <v>0</v>
      </c>
      <c r="I25" s="14">
        <v>3000</v>
      </c>
      <c r="AG25" s="7">
        <f t="shared" si="0"/>
        <v>3000</v>
      </c>
    </row>
    <row r="26" spans="1:33" ht="12.75">
      <c r="A26" s="2">
        <v>195</v>
      </c>
      <c r="B26" s="14">
        <v>0</v>
      </c>
      <c r="C26" s="14">
        <v>270.11</v>
      </c>
      <c r="D26" s="10">
        <v>254.83</v>
      </c>
      <c r="AG26" s="7">
        <f t="shared" si="0"/>
        <v>524.94</v>
      </c>
    </row>
    <row r="27" spans="1:33" ht="15" customHeight="1">
      <c r="A27" s="2">
        <v>196</v>
      </c>
      <c r="B27" s="14">
        <v>12455.64</v>
      </c>
      <c r="F27" s="1">
        <v>211.97</v>
      </c>
      <c r="I27" s="14">
        <v>3000</v>
      </c>
      <c r="K27" s="14">
        <v>2.73</v>
      </c>
      <c r="L27" s="1">
        <v>300</v>
      </c>
      <c r="M27" s="14">
        <v>108.64</v>
      </c>
      <c r="N27" s="14">
        <v>900</v>
      </c>
      <c r="V27" s="15">
        <v>1949.85</v>
      </c>
      <c r="X27" s="14">
        <v>393.83</v>
      </c>
      <c r="Y27" s="14">
        <v>175.57</v>
      </c>
      <c r="Z27" s="14">
        <v>225.56</v>
      </c>
      <c r="AA27" s="14">
        <v>649.95</v>
      </c>
      <c r="AB27" s="14">
        <v>660</v>
      </c>
      <c r="AC27" s="14">
        <v>64.99</v>
      </c>
      <c r="AF27" s="14">
        <v>947.36</v>
      </c>
      <c r="AG27" s="7">
        <f t="shared" si="0"/>
        <v>22046.09</v>
      </c>
    </row>
    <row r="28" spans="1:33" ht="15" customHeight="1">
      <c r="A28" s="2">
        <v>197</v>
      </c>
      <c r="Q28" s="14">
        <v>1425.83</v>
      </c>
      <c r="AG28" s="7">
        <f t="shared" si="0"/>
        <v>1425.83</v>
      </c>
    </row>
    <row r="29" spans="1:33" ht="15" customHeight="1">
      <c r="A29" s="2">
        <v>206</v>
      </c>
      <c r="AG29" s="7">
        <f t="shared" si="0"/>
        <v>0</v>
      </c>
    </row>
    <row r="30" spans="1:33" ht="15" customHeight="1">
      <c r="A30" s="2">
        <v>210</v>
      </c>
      <c r="B30" s="14">
        <v>0</v>
      </c>
      <c r="C30" s="14">
        <v>224.26</v>
      </c>
      <c r="D30" s="10">
        <v>209.43</v>
      </c>
      <c r="AG30" s="7">
        <f t="shared" si="0"/>
        <v>433.69</v>
      </c>
    </row>
    <row r="31" spans="1:33" ht="12.75">
      <c r="A31" s="2">
        <v>211</v>
      </c>
      <c r="B31" s="14">
        <v>7588.24</v>
      </c>
      <c r="F31" s="1">
        <v>148.38</v>
      </c>
      <c r="L31" s="1">
        <v>300</v>
      </c>
      <c r="N31" s="14">
        <v>300</v>
      </c>
      <c r="AG31" s="7">
        <f t="shared" si="0"/>
        <v>8336.619999999999</v>
      </c>
    </row>
    <row r="32" spans="1:33" ht="12.75">
      <c r="A32" s="2">
        <v>212</v>
      </c>
      <c r="Q32" s="14">
        <v>468.99</v>
      </c>
      <c r="AG32" s="7">
        <f t="shared" si="0"/>
        <v>468.99</v>
      </c>
    </row>
    <row r="33" spans="1:33" ht="12.75">
      <c r="A33" s="2">
        <v>215</v>
      </c>
      <c r="AG33" s="7">
        <f t="shared" si="0"/>
        <v>0</v>
      </c>
    </row>
    <row r="34" spans="1:33" ht="12.75">
      <c r="A34" s="2">
        <v>218</v>
      </c>
      <c r="B34" s="14">
        <v>0</v>
      </c>
      <c r="C34" s="14">
        <v>15.28</v>
      </c>
      <c r="D34" s="10">
        <v>14.83</v>
      </c>
      <c r="AG34" s="7">
        <f t="shared" si="0"/>
        <v>30.11</v>
      </c>
    </row>
    <row r="35" spans="1:33" ht="12.75">
      <c r="A35" s="2">
        <v>219</v>
      </c>
      <c r="B35" s="14">
        <v>759.58</v>
      </c>
      <c r="X35" s="14">
        <v>27.32</v>
      </c>
      <c r="Y35" s="14">
        <v>16.56</v>
      </c>
      <c r="AF35" s="14">
        <v>214.19</v>
      </c>
      <c r="AG35" s="7">
        <f aca="true" t="shared" si="1" ref="AG35:AG57">SUM(B35:AF35)</f>
        <v>1017.6500000000001</v>
      </c>
    </row>
    <row r="36" spans="1:33" ht="12.75">
      <c r="A36" s="2">
        <v>246</v>
      </c>
      <c r="B36" s="14">
        <v>0</v>
      </c>
      <c r="C36" s="14">
        <v>2700.83</v>
      </c>
      <c r="D36" s="10">
        <v>1500.61</v>
      </c>
      <c r="E36" s="10">
        <v>861.41</v>
      </c>
      <c r="AG36" s="7">
        <f t="shared" si="1"/>
        <v>5062.849999999999</v>
      </c>
    </row>
    <row r="37" spans="1:33" ht="12.75">
      <c r="A37" s="2">
        <v>247</v>
      </c>
      <c r="B37" s="14">
        <v>101411.33</v>
      </c>
      <c r="K37" s="14">
        <v>9632.41</v>
      </c>
      <c r="L37" s="1">
        <v>1401.7</v>
      </c>
      <c r="M37" s="14">
        <v>98.17</v>
      </c>
      <c r="N37" s="14">
        <v>11400</v>
      </c>
      <c r="S37">
        <v>72.87</v>
      </c>
      <c r="T37" s="14">
        <v>2121.35</v>
      </c>
      <c r="V37" s="15">
        <v>78433.49</v>
      </c>
      <c r="X37" s="14">
        <v>3931.03</v>
      </c>
      <c r="Y37" s="14">
        <v>2076.63</v>
      </c>
      <c r="AC37" s="14">
        <v>4237.31</v>
      </c>
      <c r="AD37" s="14">
        <v>15189.94</v>
      </c>
      <c r="AF37" s="14">
        <v>7435.63</v>
      </c>
      <c r="AG37" s="7">
        <f t="shared" si="1"/>
        <v>237441.86000000002</v>
      </c>
    </row>
    <row r="38" spans="1:33" ht="12.75">
      <c r="A38" s="2">
        <v>250</v>
      </c>
      <c r="B38" s="14">
        <v>0</v>
      </c>
      <c r="C38" s="14">
        <v>1244.33</v>
      </c>
      <c r="D38" s="10">
        <v>2866.77</v>
      </c>
      <c r="AG38" s="7">
        <f t="shared" si="1"/>
        <v>4111.1</v>
      </c>
    </row>
    <row r="39" spans="1:33" ht="12.75">
      <c r="A39" s="2">
        <v>251</v>
      </c>
      <c r="B39" s="14">
        <v>70393.92</v>
      </c>
      <c r="F39" s="1">
        <v>1210.9</v>
      </c>
      <c r="L39" s="1">
        <v>300</v>
      </c>
      <c r="M39" s="14">
        <v>83.99</v>
      </c>
      <c r="N39" s="14">
        <v>3720</v>
      </c>
      <c r="X39" s="14">
        <v>1162.54</v>
      </c>
      <c r="Y39" s="14">
        <v>682.97</v>
      </c>
      <c r="AB39" s="14">
        <v>1870</v>
      </c>
      <c r="AF39" s="14">
        <v>1893.48</v>
      </c>
      <c r="AG39" s="7">
        <f t="shared" si="1"/>
        <v>81317.79999999999</v>
      </c>
    </row>
    <row r="40" spans="1:33" ht="12.75">
      <c r="A40" s="2">
        <v>253</v>
      </c>
      <c r="Q40" s="14">
        <v>4265.96</v>
      </c>
      <c r="AG40" s="7">
        <f t="shared" si="1"/>
        <v>4265.96</v>
      </c>
    </row>
    <row r="41" spans="1:33" ht="12.75">
      <c r="A41" s="2">
        <v>255</v>
      </c>
      <c r="AG41" s="7">
        <f t="shared" si="1"/>
        <v>0</v>
      </c>
    </row>
    <row r="42" spans="1:33" ht="12.75">
      <c r="A42" s="2">
        <v>257</v>
      </c>
      <c r="B42" s="14">
        <v>0</v>
      </c>
      <c r="C42" s="14">
        <v>1216.69</v>
      </c>
      <c r="D42" s="10">
        <v>3005.99</v>
      </c>
      <c r="E42" s="10">
        <v>490.86</v>
      </c>
      <c r="AG42" s="7">
        <f t="shared" si="1"/>
        <v>4713.54</v>
      </c>
    </row>
    <row r="43" spans="1:33" ht="12.75">
      <c r="A43" s="2">
        <v>258</v>
      </c>
      <c r="B43" s="14">
        <v>90980.16</v>
      </c>
      <c r="F43" s="1">
        <v>850.75</v>
      </c>
      <c r="K43" s="14">
        <v>4731.8</v>
      </c>
      <c r="L43" s="1">
        <v>855.22</v>
      </c>
      <c r="N43" s="14">
        <v>4380</v>
      </c>
      <c r="X43" s="14">
        <v>1355.02</v>
      </c>
      <c r="Y43" s="14">
        <v>650.08</v>
      </c>
      <c r="AB43" s="14">
        <v>1980</v>
      </c>
      <c r="AC43" s="14">
        <v>379.13</v>
      </c>
      <c r="AD43" s="14">
        <v>3073.96</v>
      </c>
      <c r="AF43" s="14">
        <v>2368.24</v>
      </c>
      <c r="AG43" s="7">
        <f t="shared" si="1"/>
        <v>111604.36000000003</v>
      </c>
    </row>
    <row r="44" spans="1:33" ht="12.75">
      <c r="A44" s="2">
        <v>259</v>
      </c>
      <c r="Q44" s="14">
        <v>2544.85</v>
      </c>
      <c r="AG44" s="7">
        <f t="shared" si="1"/>
        <v>2544.85</v>
      </c>
    </row>
    <row r="45" spans="1:33" ht="12.75">
      <c r="A45" s="2">
        <v>264</v>
      </c>
      <c r="AG45" s="7">
        <f t="shared" si="1"/>
        <v>0</v>
      </c>
    </row>
    <row r="46" spans="1:33" ht="12.75">
      <c r="A46" s="2">
        <v>273</v>
      </c>
      <c r="B46" s="14">
        <v>0</v>
      </c>
      <c r="C46" s="14">
        <v>59.32</v>
      </c>
      <c r="D46" s="10">
        <v>22</v>
      </c>
      <c r="AG46" s="7">
        <f t="shared" si="1"/>
        <v>81.32</v>
      </c>
    </row>
    <row r="47" spans="1:33" ht="12.75">
      <c r="A47" s="2">
        <v>274</v>
      </c>
      <c r="B47" s="14">
        <v>3373.4</v>
      </c>
      <c r="X47" s="14">
        <v>212.38</v>
      </c>
      <c r="Y47" s="14">
        <v>70.55</v>
      </c>
      <c r="AF47" s="14">
        <v>337</v>
      </c>
      <c r="AG47" s="7">
        <f t="shared" si="1"/>
        <v>3993.3300000000004</v>
      </c>
    </row>
    <row r="48" spans="1:33" ht="12.75">
      <c r="A48" s="2">
        <v>283</v>
      </c>
      <c r="B48" s="14">
        <v>839.96</v>
      </c>
      <c r="X48" s="14">
        <v>39.22</v>
      </c>
      <c r="Y48" s="14">
        <v>41.98</v>
      </c>
      <c r="AF48" s="14">
        <v>167.99</v>
      </c>
      <c r="AG48" s="7">
        <f t="shared" si="1"/>
        <v>1089.15</v>
      </c>
    </row>
    <row r="49" spans="1:33" ht="12.75">
      <c r="A49" s="2">
        <v>301</v>
      </c>
      <c r="C49" s="14">
        <v>14.83</v>
      </c>
      <c r="AG49" s="7">
        <f t="shared" si="1"/>
        <v>14.83</v>
      </c>
    </row>
    <row r="50" spans="1:33" ht="12.75">
      <c r="A50" s="2">
        <v>302</v>
      </c>
      <c r="B50" s="14">
        <v>1083.81</v>
      </c>
      <c r="N50" s="14">
        <v>120</v>
      </c>
      <c r="V50" s="15">
        <v>519.96</v>
      </c>
      <c r="Z50" s="14">
        <v>541.36</v>
      </c>
      <c r="AD50" s="14">
        <v>54.65</v>
      </c>
      <c r="AG50" s="7">
        <f t="shared" si="1"/>
        <v>2319.78</v>
      </c>
    </row>
    <row r="51" spans="1:33" ht="12.75">
      <c r="A51" s="2">
        <v>311</v>
      </c>
      <c r="B51" s="14">
        <v>5069.64</v>
      </c>
      <c r="F51" s="1">
        <v>70.7</v>
      </c>
      <c r="G51">
        <v>182.48</v>
      </c>
      <c r="I51" s="14">
        <v>3000</v>
      </c>
      <c r="L51" s="1">
        <v>419.98</v>
      </c>
      <c r="M51" s="14">
        <v>85.67</v>
      </c>
      <c r="N51" s="14">
        <v>900</v>
      </c>
      <c r="O51" s="14">
        <v>720</v>
      </c>
      <c r="X51" s="14">
        <v>206.46</v>
      </c>
      <c r="Y51" s="14">
        <v>114.36</v>
      </c>
      <c r="AB51" s="14">
        <v>660</v>
      </c>
      <c r="AF51" s="14">
        <v>732.05</v>
      </c>
      <c r="AG51" s="7">
        <f t="shared" si="1"/>
        <v>12161.339999999998</v>
      </c>
    </row>
    <row r="52" spans="1:33" ht="12.75">
      <c r="A52" s="2">
        <v>312</v>
      </c>
      <c r="Q52" s="14">
        <v>278.81</v>
      </c>
      <c r="AG52" s="7">
        <f t="shared" si="1"/>
        <v>278.81</v>
      </c>
    </row>
    <row r="53" spans="1:33" ht="12.75">
      <c r="A53" s="2">
        <v>338</v>
      </c>
      <c r="B53" s="14">
        <v>12055.34</v>
      </c>
      <c r="F53" s="1">
        <v>143.08</v>
      </c>
      <c r="G53">
        <v>427.39</v>
      </c>
      <c r="K53" s="14">
        <v>158.61</v>
      </c>
      <c r="N53" s="14">
        <v>1620</v>
      </c>
      <c r="O53" s="14">
        <v>120</v>
      </c>
      <c r="X53" s="14">
        <v>236.73</v>
      </c>
      <c r="Y53" s="14">
        <v>112.88</v>
      </c>
      <c r="Z53" s="14">
        <v>1398.52</v>
      </c>
      <c r="AB53" s="14">
        <v>1870</v>
      </c>
      <c r="AF53" s="14">
        <v>831.98</v>
      </c>
      <c r="AG53" s="7">
        <f t="shared" si="1"/>
        <v>18974.53</v>
      </c>
    </row>
    <row r="54" spans="1:33" ht="12.75">
      <c r="A54" s="2">
        <v>339</v>
      </c>
      <c r="Q54" s="14">
        <v>629.82</v>
      </c>
      <c r="AG54" s="7">
        <f t="shared" si="1"/>
        <v>629.82</v>
      </c>
    </row>
    <row r="55" spans="1:33" ht="12.75">
      <c r="A55" s="2">
        <v>352</v>
      </c>
      <c r="B55" s="14">
        <v>40872.97</v>
      </c>
      <c r="F55" s="1">
        <v>219.88</v>
      </c>
      <c r="G55">
        <v>2251.67</v>
      </c>
      <c r="L55" s="1">
        <v>900</v>
      </c>
      <c r="M55" s="14">
        <v>62.42</v>
      </c>
      <c r="N55" s="14">
        <v>12660</v>
      </c>
      <c r="O55" s="14">
        <v>3120</v>
      </c>
      <c r="X55" s="14">
        <v>1618.1</v>
      </c>
      <c r="Y55" s="14">
        <v>659.64</v>
      </c>
      <c r="AB55" s="14">
        <v>7095</v>
      </c>
      <c r="AF55" s="14">
        <v>3393.19</v>
      </c>
      <c r="AG55" s="7">
        <f t="shared" si="1"/>
        <v>72852.87</v>
      </c>
    </row>
    <row r="56" spans="1:33" ht="12.75">
      <c r="A56" s="2">
        <v>353</v>
      </c>
      <c r="Q56" s="14">
        <v>4957.07</v>
      </c>
      <c r="AG56" s="7">
        <f t="shared" si="1"/>
        <v>4957.07</v>
      </c>
    </row>
    <row r="57" spans="1:33" s="8" customFormat="1" ht="12.75">
      <c r="A57" s="6" t="s">
        <v>128</v>
      </c>
      <c r="B57" s="7">
        <f aca="true" t="shared" si="2" ref="B57:P57">SUM(B3:B55)</f>
        <v>497098.19000000006</v>
      </c>
      <c r="C57" s="7">
        <f t="shared" si="2"/>
        <v>9862.09</v>
      </c>
      <c r="D57" s="12">
        <f t="shared" si="2"/>
        <v>11719.89</v>
      </c>
      <c r="E57" s="12">
        <f t="shared" si="2"/>
        <v>2097.9300000000003</v>
      </c>
      <c r="F57" s="7">
        <f t="shared" si="2"/>
        <v>4381.03</v>
      </c>
      <c r="G57" s="7">
        <f t="shared" si="2"/>
        <v>3778.98</v>
      </c>
      <c r="H57" s="7">
        <f t="shared" si="2"/>
        <v>5948.59</v>
      </c>
      <c r="I57" s="7">
        <f t="shared" si="2"/>
        <v>34000</v>
      </c>
      <c r="J57" s="7">
        <f t="shared" si="2"/>
        <v>3252.4</v>
      </c>
      <c r="K57" s="7">
        <f t="shared" si="2"/>
        <v>17591</v>
      </c>
      <c r="L57" s="7">
        <f t="shared" si="2"/>
        <v>6096.0599999999995</v>
      </c>
      <c r="M57" s="7">
        <f t="shared" si="2"/>
        <v>5278.64</v>
      </c>
      <c r="N57" s="7">
        <f t="shared" si="2"/>
        <v>45480</v>
      </c>
      <c r="O57" s="7">
        <f t="shared" si="2"/>
        <v>4560</v>
      </c>
      <c r="P57" s="7">
        <f t="shared" si="2"/>
        <v>851.74</v>
      </c>
      <c r="Q57" s="7">
        <f aca="true" t="shared" si="3" ref="Q57:AF57">SUM(Q3:Q56)</f>
        <v>20872.11</v>
      </c>
      <c r="R57" s="7">
        <f t="shared" si="3"/>
        <v>195.82</v>
      </c>
      <c r="S57" s="7">
        <f t="shared" si="3"/>
        <v>633.5600000000001</v>
      </c>
      <c r="T57" s="7">
        <f t="shared" si="3"/>
        <v>2823.84</v>
      </c>
      <c r="U57" s="7">
        <f t="shared" si="3"/>
        <v>1348.98</v>
      </c>
      <c r="V57" s="7">
        <f t="shared" si="3"/>
        <v>80903.30000000002</v>
      </c>
      <c r="W57" s="7">
        <f t="shared" si="3"/>
        <v>4163.41</v>
      </c>
      <c r="X57" s="7">
        <f t="shared" si="3"/>
        <v>11017.479999999998</v>
      </c>
      <c r="Y57" s="7">
        <f t="shared" si="3"/>
        <v>5925.16</v>
      </c>
      <c r="Z57" s="7">
        <f t="shared" si="3"/>
        <v>20679.420000000002</v>
      </c>
      <c r="AA57" s="7">
        <f t="shared" si="3"/>
        <v>649.95</v>
      </c>
      <c r="AB57" s="7">
        <f t="shared" si="3"/>
        <v>22055</v>
      </c>
      <c r="AC57" s="7">
        <f t="shared" si="3"/>
        <v>4785.42</v>
      </c>
      <c r="AD57" s="7">
        <f t="shared" si="3"/>
        <v>18482.500000000004</v>
      </c>
      <c r="AE57" s="7">
        <f t="shared" si="3"/>
        <v>1320</v>
      </c>
      <c r="AF57" s="7">
        <f t="shared" si="3"/>
        <v>46669.310000000005</v>
      </c>
      <c r="AG57" s="7">
        <f t="shared" si="1"/>
        <v>894521.8000000003</v>
      </c>
    </row>
  </sheetData>
  <printOptions/>
  <pageMargins left="0.75" right="0.75" top="1" bottom="1" header="0.492125985" footer="0.492125985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0"/>
  <sheetViews>
    <sheetView tabSelected="1" workbookViewId="0" topLeftCell="A1">
      <pane xSplit="1" ySplit="2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40" sqref="E140"/>
    </sheetView>
  </sheetViews>
  <sheetFormatPr defaultColWidth="9.140625" defaultRowHeight="12.75"/>
  <cols>
    <col min="1" max="1" width="11.28125" style="2" bestFit="1" customWidth="1"/>
    <col min="2" max="2" width="12.140625" style="14" bestFit="1" customWidth="1"/>
    <col min="3" max="3" width="13.57421875" style="14" bestFit="1" customWidth="1"/>
    <col min="4" max="5" width="12.8515625" style="10" bestFit="1" customWidth="1"/>
    <col min="6" max="6" width="12.140625" style="14" customWidth="1"/>
    <col min="7" max="7" width="10.00390625" style="0" customWidth="1"/>
    <col min="8" max="8" width="12.00390625" style="14" customWidth="1"/>
    <col min="9" max="9" width="10.8515625" style="14" customWidth="1"/>
    <col min="10" max="10" width="13.421875" style="14" customWidth="1"/>
    <col min="11" max="11" width="10.28125" style="14" bestFit="1" customWidth="1"/>
    <col min="12" max="12" width="12.7109375" style="14" customWidth="1"/>
    <col min="13" max="13" width="11.57421875" style="14" bestFit="1" customWidth="1"/>
    <col min="14" max="15" width="10.8515625" style="14" customWidth="1"/>
    <col min="16" max="16" width="10.421875" style="14" customWidth="1"/>
    <col min="17" max="17" width="11.421875" style="14" customWidth="1"/>
    <col min="18" max="18" width="10.7109375" style="0" customWidth="1"/>
    <col min="19" max="19" width="9.7109375" style="0" customWidth="1"/>
    <col min="20" max="20" width="11.140625" style="14" customWidth="1"/>
    <col min="21" max="21" width="9.28125" style="2" bestFit="1" customWidth="1"/>
    <col min="22" max="22" width="10.28125" style="15" bestFit="1" customWidth="1"/>
    <col min="23" max="23" width="11.28125" style="14" customWidth="1"/>
    <col min="24" max="24" width="13.00390625" style="14" customWidth="1"/>
    <col min="25" max="25" width="10.28125" style="14" customWidth="1"/>
    <col min="26" max="26" width="12.421875" style="14" customWidth="1"/>
    <col min="27" max="27" width="16.140625" style="14" customWidth="1"/>
    <col min="28" max="28" width="14.00390625" style="14" customWidth="1"/>
    <col min="29" max="29" width="12.421875" style="14" customWidth="1"/>
    <col min="30" max="30" width="11.7109375" style="14" customWidth="1"/>
    <col min="31" max="31" width="12.28125" style="14" customWidth="1"/>
    <col min="32" max="34" width="11.7109375" style="14" customWidth="1"/>
    <col min="35" max="35" width="15.140625" style="7" bestFit="1" customWidth="1"/>
    <col min="36" max="36" width="13.8515625" style="0" bestFit="1" customWidth="1"/>
    <col min="37" max="37" width="13.8515625" style="1" bestFit="1" customWidth="1"/>
    <col min="38" max="38" width="11.8515625" style="0" bestFit="1" customWidth="1"/>
    <col min="39" max="39" width="11.421875" style="0" bestFit="1" customWidth="1"/>
    <col min="40" max="40" width="11.8515625" style="0" bestFit="1" customWidth="1"/>
  </cols>
  <sheetData>
    <row r="1" spans="2:5" ht="12.75">
      <c r="B1" s="13" t="s">
        <v>115</v>
      </c>
      <c r="C1" s="13"/>
      <c r="D1" s="10" t="s">
        <v>141</v>
      </c>
      <c r="E1" s="10" t="s">
        <v>141</v>
      </c>
    </row>
    <row r="2" spans="1:38" s="8" customFormat="1" ht="12.75">
      <c r="A2" s="6" t="s">
        <v>112</v>
      </c>
      <c r="B2" s="9" t="s">
        <v>113</v>
      </c>
      <c r="C2" s="9" t="s">
        <v>140</v>
      </c>
      <c r="D2" s="11" t="s">
        <v>114</v>
      </c>
      <c r="E2" s="11" t="s">
        <v>142</v>
      </c>
      <c r="F2" s="7" t="s">
        <v>116</v>
      </c>
      <c r="G2" s="8" t="s">
        <v>117</v>
      </c>
      <c r="H2" s="7" t="s">
        <v>118</v>
      </c>
      <c r="I2" s="7" t="s">
        <v>119</v>
      </c>
      <c r="J2" s="7" t="s">
        <v>120</v>
      </c>
      <c r="K2" s="9" t="s">
        <v>121</v>
      </c>
      <c r="L2" s="9" t="s">
        <v>122</v>
      </c>
      <c r="M2" s="9" t="s">
        <v>123</v>
      </c>
      <c r="N2" s="7" t="s">
        <v>124</v>
      </c>
      <c r="O2" s="7" t="s">
        <v>125</v>
      </c>
      <c r="P2" s="7" t="s">
        <v>126</v>
      </c>
      <c r="Q2" s="7" t="s">
        <v>127</v>
      </c>
      <c r="R2" s="6" t="s">
        <v>129</v>
      </c>
      <c r="S2" s="8" t="s">
        <v>130</v>
      </c>
      <c r="T2" s="7" t="s">
        <v>131</v>
      </c>
      <c r="U2" s="6" t="s">
        <v>132</v>
      </c>
      <c r="V2" s="9" t="s">
        <v>133</v>
      </c>
      <c r="W2" s="7" t="s">
        <v>134</v>
      </c>
      <c r="X2" s="7" t="s">
        <v>136</v>
      </c>
      <c r="Y2" s="7" t="s">
        <v>135</v>
      </c>
      <c r="Z2" s="9" t="s">
        <v>137</v>
      </c>
      <c r="AA2" s="9" t="s">
        <v>138</v>
      </c>
      <c r="AB2" s="9" t="s">
        <v>139</v>
      </c>
      <c r="AC2" s="9" t="s">
        <v>143</v>
      </c>
      <c r="AD2" s="7" t="s">
        <v>144</v>
      </c>
      <c r="AE2" s="7" t="s">
        <v>145</v>
      </c>
      <c r="AF2" s="9" t="s">
        <v>146</v>
      </c>
      <c r="AG2" s="9" t="s">
        <v>150</v>
      </c>
      <c r="AH2" s="9" t="s">
        <v>151</v>
      </c>
      <c r="AI2" s="9" t="s">
        <v>128</v>
      </c>
      <c r="AJ2" s="6" t="s">
        <v>156</v>
      </c>
      <c r="AK2" s="9" t="s">
        <v>155</v>
      </c>
      <c r="AL2" s="8" t="s">
        <v>157</v>
      </c>
    </row>
    <row r="3" spans="1:40" ht="12.75">
      <c r="A3" s="2">
        <v>1</v>
      </c>
      <c r="B3" s="14">
        <v>1070.83</v>
      </c>
      <c r="I3" s="14">
        <v>7000</v>
      </c>
      <c r="Z3" s="14">
        <v>1804.58</v>
      </c>
      <c r="AI3" s="7">
        <f aca="true" t="shared" si="0" ref="AI3:AI40">SUM(B3:AG3)</f>
        <v>9875.41</v>
      </c>
      <c r="AJ3" s="19">
        <f>AI3*9</f>
        <v>88878.69</v>
      </c>
      <c r="AK3" s="1">
        <v>65862</v>
      </c>
      <c r="AL3" s="19">
        <f>AK3-AJ3</f>
        <v>-23016.690000000002</v>
      </c>
      <c r="AM3" t="s">
        <v>159</v>
      </c>
      <c r="AN3" s="19">
        <f>AL4+AL7+AL8+AL9+AL13+AL14+AL15+AL16+AL17+AL19+AL20+AL22+AL23+AL24+AL25+AL27+AL29</f>
        <v>602950.5899999999</v>
      </c>
    </row>
    <row r="4" spans="1:40" ht="12.75">
      <c r="A4" s="2">
        <v>7</v>
      </c>
      <c r="B4" s="14">
        <v>9974.35</v>
      </c>
      <c r="F4" s="14">
        <v>238.47</v>
      </c>
      <c r="I4" s="14">
        <v>3000</v>
      </c>
      <c r="J4" s="14">
        <v>152.45</v>
      </c>
      <c r="K4" s="14">
        <v>394.67</v>
      </c>
      <c r="L4" s="14">
        <v>811.19</v>
      </c>
      <c r="N4" s="14">
        <v>360</v>
      </c>
      <c r="X4" s="14">
        <v>305.65</v>
      </c>
      <c r="Y4" s="14">
        <v>84.02</v>
      </c>
      <c r="Z4" s="14">
        <v>1714.32</v>
      </c>
      <c r="AB4" s="14">
        <v>110</v>
      </c>
      <c r="AD4" s="14">
        <v>163.95</v>
      </c>
      <c r="AF4" s="14">
        <v>442.35</v>
      </c>
      <c r="AI4" s="7">
        <f t="shared" si="0"/>
        <v>17751.420000000002</v>
      </c>
      <c r="AJ4" s="19">
        <f aca="true" t="shared" si="1" ref="AJ4:AJ96">AI4*9</f>
        <v>159762.78000000003</v>
      </c>
      <c r="AK4" s="1">
        <v>206636</v>
      </c>
      <c r="AL4" s="19">
        <f aca="true" t="shared" si="2" ref="AL4:AL67">AK4-AJ4</f>
        <v>46873.21999999997</v>
      </c>
      <c r="AN4" s="19">
        <f>-AL3-AL5-AL6-AL10-AL11-AL12-AL18-AL21-AL26-AL28</f>
        <v>142155.97999999995</v>
      </c>
    </row>
    <row r="5" spans="1:40" ht="12.75">
      <c r="A5" s="2">
        <v>8</v>
      </c>
      <c r="Q5" s="14">
        <v>694.53</v>
      </c>
      <c r="AI5" s="7">
        <f t="shared" si="0"/>
        <v>694.53</v>
      </c>
      <c r="AJ5" s="19">
        <f t="shared" si="1"/>
        <v>6250.7699999999995</v>
      </c>
      <c r="AK5" s="1">
        <v>5291</v>
      </c>
      <c r="AL5" s="19">
        <f t="shared" si="2"/>
        <v>-959.7699999999995</v>
      </c>
      <c r="AM5" t="s">
        <v>162</v>
      </c>
      <c r="AN5" s="19">
        <f>AN3-AN4</f>
        <v>460794.60999999987</v>
      </c>
    </row>
    <row r="6" spans="1:38" ht="12.75">
      <c r="A6" s="2">
        <v>20</v>
      </c>
      <c r="B6" s="14">
        <v>6473.12</v>
      </c>
      <c r="I6" s="14">
        <v>3000</v>
      </c>
      <c r="N6" s="14">
        <v>240</v>
      </c>
      <c r="Q6" s="14">
        <v>42.59</v>
      </c>
      <c r="U6" s="16">
        <v>1141.99</v>
      </c>
      <c r="X6" s="14">
        <v>25.87</v>
      </c>
      <c r="Z6" s="14">
        <v>3010.73</v>
      </c>
      <c r="AF6" s="14">
        <v>84</v>
      </c>
      <c r="AI6" s="7">
        <f t="shared" si="0"/>
        <v>14018.3</v>
      </c>
      <c r="AJ6" s="19">
        <f t="shared" si="1"/>
        <v>126164.7</v>
      </c>
      <c r="AK6" s="1">
        <v>105547</v>
      </c>
      <c r="AL6" s="19">
        <f t="shared" si="2"/>
        <v>-20617.699999999997</v>
      </c>
    </row>
    <row r="7" spans="1:38" ht="12.75">
      <c r="A7" s="2">
        <v>21</v>
      </c>
      <c r="U7" s="16"/>
      <c r="AJ7" s="19"/>
      <c r="AK7" s="1">
        <v>969</v>
      </c>
      <c r="AL7" s="19">
        <f t="shared" si="2"/>
        <v>969</v>
      </c>
    </row>
    <row r="8" spans="1:38" ht="12.75">
      <c r="A8" s="2">
        <v>29</v>
      </c>
      <c r="B8" s="14">
        <v>839.96</v>
      </c>
      <c r="K8" s="14">
        <v>194.65</v>
      </c>
      <c r="Y8" s="14">
        <v>20.99</v>
      </c>
      <c r="Z8" s="14">
        <v>225.56</v>
      </c>
      <c r="AF8" s="14">
        <v>84</v>
      </c>
      <c r="AI8" s="7">
        <f t="shared" si="0"/>
        <v>1365.16</v>
      </c>
      <c r="AJ8" s="19">
        <f t="shared" si="1"/>
        <v>12286.44</v>
      </c>
      <c r="AK8" s="1">
        <v>16353</v>
      </c>
      <c r="AL8" s="19">
        <f t="shared" si="2"/>
        <v>4066.5599999999995</v>
      </c>
    </row>
    <row r="9" spans="1:38" ht="12.75">
      <c r="A9" s="2">
        <v>30</v>
      </c>
      <c r="AJ9" s="19"/>
      <c r="AK9" s="1">
        <v>800</v>
      </c>
      <c r="AL9" s="19">
        <f t="shared" si="2"/>
        <v>800</v>
      </c>
    </row>
    <row r="10" spans="1:38" ht="12.75">
      <c r="A10" s="2">
        <v>39</v>
      </c>
      <c r="B10" s="14">
        <v>17103.21</v>
      </c>
      <c r="F10" s="14">
        <v>150.81</v>
      </c>
      <c r="I10" s="14">
        <v>3000</v>
      </c>
      <c r="J10" s="14">
        <v>86.1</v>
      </c>
      <c r="K10" s="14">
        <v>1214.32</v>
      </c>
      <c r="M10" s="14">
        <v>150.41</v>
      </c>
      <c r="N10" s="14">
        <v>720</v>
      </c>
      <c r="X10" s="14">
        <v>318.06</v>
      </c>
      <c r="Y10" s="14">
        <v>399.21</v>
      </c>
      <c r="Z10" s="14">
        <v>4827.16</v>
      </c>
      <c r="AB10" s="14">
        <v>1100</v>
      </c>
      <c r="AE10" s="14">
        <v>1320</v>
      </c>
      <c r="AF10" s="14">
        <v>1559.81</v>
      </c>
      <c r="AI10" s="7">
        <f t="shared" si="0"/>
        <v>31949.09</v>
      </c>
      <c r="AJ10" s="19">
        <f t="shared" si="1"/>
        <v>287541.81</v>
      </c>
      <c r="AK10" s="1">
        <v>283415</v>
      </c>
      <c r="AL10" s="19">
        <f t="shared" si="2"/>
        <v>-4126.809999999998</v>
      </c>
    </row>
    <row r="11" spans="1:38" ht="12.75">
      <c r="A11" s="2">
        <v>40</v>
      </c>
      <c r="Q11" s="14">
        <v>1559.11</v>
      </c>
      <c r="AI11" s="7">
        <f t="shared" si="0"/>
        <v>1559.11</v>
      </c>
      <c r="AJ11" s="19">
        <f t="shared" si="1"/>
        <v>14031.99</v>
      </c>
      <c r="AK11" s="1">
        <v>9614</v>
      </c>
      <c r="AL11" s="19">
        <f t="shared" si="2"/>
        <v>-4417.99</v>
      </c>
    </row>
    <row r="12" spans="1:38" ht="12.75">
      <c r="A12" s="2">
        <v>49</v>
      </c>
      <c r="B12" s="14">
        <v>0</v>
      </c>
      <c r="C12" s="14">
        <f>14.83+120.93+44.49+29.66+240.9+400.41+237.74+297.96+181.13+29.66+30.57+387.39+14.83+164.48+256.22+1665.24</f>
        <v>4116.44</v>
      </c>
      <c r="D12" s="10">
        <f>112.14+54.37+29.66+226.06+400.41+237.74+223.81+179.32+30.11+39.96+430.52+14.83+253.03+1613.47</f>
        <v>3845.4300000000003</v>
      </c>
      <c r="E12" s="10">
        <f>445.66+300</f>
        <v>745.6600000000001</v>
      </c>
      <c r="AI12" s="7">
        <f t="shared" si="0"/>
        <v>8707.53</v>
      </c>
      <c r="AJ12" s="19">
        <f t="shared" si="1"/>
        <v>78367.77</v>
      </c>
      <c r="AK12" s="1">
        <v>41399</v>
      </c>
      <c r="AL12" s="19">
        <f t="shared" si="2"/>
        <v>-36968.770000000004</v>
      </c>
    </row>
    <row r="13" spans="1:38" ht="12.75">
      <c r="A13" s="2">
        <v>51</v>
      </c>
      <c r="AI13" s="7">
        <f t="shared" si="0"/>
        <v>0</v>
      </c>
      <c r="AJ13" s="19">
        <f t="shared" si="1"/>
        <v>0</v>
      </c>
      <c r="AK13" s="1">
        <v>141806</v>
      </c>
      <c r="AL13" s="19">
        <f t="shared" si="2"/>
        <v>141806</v>
      </c>
    </row>
    <row r="14" spans="1:38" ht="12.75">
      <c r="A14" s="2">
        <v>52</v>
      </c>
      <c r="B14" s="14">
        <v>45448.98</v>
      </c>
      <c r="H14" s="14">
        <v>5948.59</v>
      </c>
      <c r="J14" s="14">
        <v>3013.85</v>
      </c>
      <c r="L14" s="14">
        <v>411.75</v>
      </c>
      <c r="M14" s="14">
        <v>4352.29</v>
      </c>
      <c r="N14" s="14">
        <v>2460</v>
      </c>
      <c r="O14" s="14">
        <v>120</v>
      </c>
      <c r="P14" s="14">
        <v>851.74</v>
      </c>
      <c r="R14" s="14">
        <f>93.66+102.16</f>
        <v>195.82</v>
      </c>
      <c r="S14">
        <v>560.69</v>
      </c>
      <c r="T14" s="14">
        <v>702.49</v>
      </c>
      <c r="U14" s="16">
        <v>206.99</v>
      </c>
      <c r="W14" s="14">
        <v>4163.41</v>
      </c>
      <c r="X14" s="14">
        <v>118</v>
      </c>
      <c r="Z14" s="17">
        <v>796.19</v>
      </c>
      <c r="AC14" s="14">
        <v>103.99</v>
      </c>
      <c r="AF14" s="14">
        <v>22198.12</v>
      </c>
      <c r="AI14" s="7">
        <f t="shared" si="0"/>
        <v>91652.90000000001</v>
      </c>
      <c r="AJ14" s="19">
        <f t="shared" si="1"/>
        <v>824876.1000000001</v>
      </c>
      <c r="AK14" s="1">
        <v>857378</v>
      </c>
      <c r="AL14" s="19">
        <f t="shared" si="2"/>
        <v>32501.899999999907</v>
      </c>
    </row>
    <row r="15" spans="1:38" ht="12.75">
      <c r="A15" s="2">
        <v>53</v>
      </c>
      <c r="R15" s="14"/>
      <c r="U15" s="16"/>
      <c r="Z15" s="17"/>
      <c r="AJ15" s="19"/>
      <c r="AK15" s="1">
        <v>70945</v>
      </c>
      <c r="AL15" s="19">
        <f t="shared" si="2"/>
        <v>70945</v>
      </c>
    </row>
    <row r="16" spans="1:38" ht="12.75">
      <c r="A16" s="2">
        <v>54</v>
      </c>
      <c r="R16" s="14"/>
      <c r="U16" s="16"/>
      <c r="Z16" s="17"/>
      <c r="AJ16" s="19"/>
      <c r="AK16" s="1">
        <v>3938</v>
      </c>
      <c r="AL16" s="19">
        <f t="shared" si="2"/>
        <v>3938</v>
      </c>
    </row>
    <row r="17" spans="1:38" ht="12.75">
      <c r="A17" s="2">
        <v>64</v>
      </c>
      <c r="B17" s="14">
        <v>10067.62</v>
      </c>
      <c r="I17" s="14">
        <v>3000</v>
      </c>
      <c r="K17" s="14">
        <v>700.07</v>
      </c>
      <c r="M17" s="14">
        <v>166.26</v>
      </c>
      <c r="N17" s="14">
        <v>360</v>
      </c>
      <c r="X17" s="14">
        <v>226.22</v>
      </c>
      <c r="Y17" s="14">
        <v>251.82</v>
      </c>
      <c r="Z17" s="14">
        <v>2797.04</v>
      </c>
      <c r="AF17" s="14">
        <v>810.63</v>
      </c>
      <c r="AI17" s="7">
        <f t="shared" si="0"/>
        <v>18379.66</v>
      </c>
      <c r="AJ17" s="19">
        <f t="shared" si="1"/>
        <v>165416.94</v>
      </c>
      <c r="AK17" s="1">
        <v>285790</v>
      </c>
      <c r="AL17" s="19">
        <f t="shared" si="2"/>
        <v>120373.06</v>
      </c>
    </row>
    <row r="18" spans="1:38" ht="12.75">
      <c r="A18" s="2">
        <v>65</v>
      </c>
      <c r="Q18" s="14">
        <v>971.48</v>
      </c>
      <c r="AI18" s="7">
        <f t="shared" si="0"/>
        <v>971.48</v>
      </c>
      <c r="AJ18" s="19">
        <f t="shared" si="1"/>
        <v>8743.32</v>
      </c>
      <c r="AK18" s="1">
        <v>2788</v>
      </c>
      <c r="AL18" s="19">
        <f t="shared" si="2"/>
        <v>-5955.32</v>
      </c>
    </row>
    <row r="19" spans="1:38" ht="12.75">
      <c r="A19" s="2">
        <v>80</v>
      </c>
      <c r="B19" s="14">
        <v>11697.55</v>
      </c>
      <c r="F19" s="14">
        <v>74.19</v>
      </c>
      <c r="G19">
        <v>198.73</v>
      </c>
      <c r="I19" s="14">
        <v>3000</v>
      </c>
      <c r="K19" s="14">
        <v>430.71</v>
      </c>
      <c r="L19" s="14">
        <v>396.22</v>
      </c>
      <c r="M19" s="14">
        <v>80.73</v>
      </c>
      <c r="N19" s="14">
        <v>780</v>
      </c>
      <c r="X19" s="14">
        <v>255.69</v>
      </c>
      <c r="Y19" s="14">
        <v>68.9</v>
      </c>
      <c r="Z19" s="14">
        <v>2255.68</v>
      </c>
      <c r="AB19" s="14">
        <v>1155</v>
      </c>
      <c r="AF19" s="14">
        <v>1087.64</v>
      </c>
      <c r="AI19" s="7">
        <f t="shared" si="0"/>
        <v>21481.039999999997</v>
      </c>
      <c r="AJ19" s="19">
        <f t="shared" si="1"/>
        <v>193329.36</v>
      </c>
      <c r="AK19" s="1">
        <v>274171</v>
      </c>
      <c r="AL19" s="19">
        <f t="shared" si="2"/>
        <v>80841.64000000001</v>
      </c>
    </row>
    <row r="20" spans="1:38" ht="12.75">
      <c r="A20" s="2">
        <v>81</v>
      </c>
      <c r="Q20" s="14">
        <v>144.8</v>
      </c>
      <c r="AI20" s="7">
        <f t="shared" si="0"/>
        <v>144.8</v>
      </c>
      <c r="AJ20" s="19">
        <f t="shared" si="1"/>
        <v>1303.2</v>
      </c>
      <c r="AK20" s="1">
        <v>7836</v>
      </c>
      <c r="AL20" s="19">
        <f t="shared" si="2"/>
        <v>6532.8</v>
      </c>
    </row>
    <row r="21" spans="1:38" ht="12.75">
      <c r="A21" s="2">
        <v>85</v>
      </c>
      <c r="B21" s="14">
        <v>18770.19</v>
      </c>
      <c r="F21" s="14">
        <v>340.01</v>
      </c>
      <c r="G21">
        <v>718.71</v>
      </c>
      <c r="N21" s="14">
        <v>3180</v>
      </c>
      <c r="O21" s="14">
        <v>480</v>
      </c>
      <c r="X21" s="14">
        <v>350.26</v>
      </c>
      <c r="Y21" s="14">
        <v>176.26</v>
      </c>
      <c r="AB21" s="14">
        <v>2860</v>
      </c>
      <c r="AF21" s="14">
        <v>1216.53</v>
      </c>
      <c r="AI21" s="7">
        <f t="shared" si="0"/>
        <v>28091.959999999992</v>
      </c>
      <c r="AJ21" s="19">
        <f t="shared" si="1"/>
        <v>252827.63999999993</v>
      </c>
      <c r="AK21" s="1">
        <v>218227</v>
      </c>
      <c r="AL21" s="19">
        <f t="shared" si="2"/>
        <v>-34600.63999999993</v>
      </c>
    </row>
    <row r="22" spans="1:38" ht="12.75">
      <c r="A22" s="2">
        <v>86</v>
      </c>
      <c r="Q22" s="14">
        <v>1120.46</v>
      </c>
      <c r="AI22" s="7">
        <f t="shared" si="0"/>
        <v>1120.46</v>
      </c>
      <c r="AJ22" s="19">
        <f t="shared" si="1"/>
        <v>10084.14</v>
      </c>
      <c r="AK22" s="1">
        <v>12222</v>
      </c>
      <c r="AL22" s="19">
        <f t="shared" si="2"/>
        <v>2137.8600000000006</v>
      </c>
    </row>
    <row r="23" spans="1:38" ht="12.75">
      <c r="A23" s="2">
        <v>97</v>
      </c>
      <c r="B23" s="14">
        <v>3926.81</v>
      </c>
      <c r="F23" s="14">
        <v>29.73</v>
      </c>
      <c r="N23" s="14">
        <v>60</v>
      </c>
      <c r="Y23" s="14">
        <v>19.4</v>
      </c>
      <c r="Z23" s="14">
        <v>541.36</v>
      </c>
      <c r="AB23" s="14">
        <v>55</v>
      </c>
      <c r="AI23" s="7">
        <f t="shared" si="0"/>
        <v>4632.3</v>
      </c>
      <c r="AJ23" s="19">
        <f t="shared" si="1"/>
        <v>41690.700000000004</v>
      </c>
      <c r="AK23" s="1">
        <v>69746</v>
      </c>
      <c r="AL23" s="19">
        <f t="shared" si="2"/>
        <v>28055.299999999996</v>
      </c>
    </row>
    <row r="24" spans="1:38" ht="12.75">
      <c r="A24" s="2">
        <v>98</v>
      </c>
      <c r="AJ24" s="19"/>
      <c r="AK24" s="1">
        <v>5000</v>
      </c>
      <c r="AL24" s="19">
        <f t="shared" si="2"/>
        <v>5000</v>
      </c>
    </row>
    <row r="25" spans="1:38" ht="12.75">
      <c r="A25" s="2">
        <v>115</v>
      </c>
      <c r="B25" s="14">
        <v>4443.97</v>
      </c>
      <c r="F25" s="14">
        <v>180.54</v>
      </c>
      <c r="M25" s="14">
        <v>90.06</v>
      </c>
      <c r="N25" s="14">
        <v>540</v>
      </c>
      <c r="X25" s="14">
        <v>72.29</v>
      </c>
      <c r="Y25" s="14">
        <v>45</v>
      </c>
      <c r="AB25" s="14">
        <v>715</v>
      </c>
      <c r="AF25" s="14">
        <v>255.17</v>
      </c>
      <c r="AI25" s="7">
        <f t="shared" si="0"/>
        <v>6342.030000000001</v>
      </c>
      <c r="AJ25" s="19">
        <f t="shared" si="1"/>
        <v>57078.270000000004</v>
      </c>
      <c r="AK25" s="1">
        <v>64143</v>
      </c>
      <c r="AL25" s="19">
        <f t="shared" si="2"/>
        <v>7064.729999999996</v>
      </c>
    </row>
    <row r="26" spans="1:38" ht="12.75">
      <c r="A26" s="2">
        <v>116</v>
      </c>
      <c r="Q26" s="14">
        <v>676.57</v>
      </c>
      <c r="AI26" s="7">
        <f t="shared" si="0"/>
        <v>676.57</v>
      </c>
      <c r="AJ26" s="19">
        <f t="shared" si="1"/>
        <v>6089.13</v>
      </c>
      <c r="AK26" s="1">
        <v>1547</v>
      </c>
      <c r="AL26" s="19">
        <f t="shared" si="2"/>
        <v>-4542.13</v>
      </c>
    </row>
    <row r="27" spans="1:38" ht="12.75">
      <c r="A27" s="2">
        <v>120</v>
      </c>
      <c r="B27" s="14">
        <v>18036.26</v>
      </c>
      <c r="F27" s="14">
        <v>511.62</v>
      </c>
      <c r="I27" s="14">
        <v>3000</v>
      </c>
      <c r="K27" s="14">
        <v>131.03</v>
      </c>
      <c r="N27" s="14">
        <v>780</v>
      </c>
      <c r="X27" s="14">
        <v>162.81</v>
      </c>
      <c r="Y27" s="14">
        <v>258.34</v>
      </c>
      <c r="Z27" s="14">
        <v>541.36</v>
      </c>
      <c r="AB27" s="14">
        <v>1760</v>
      </c>
      <c r="AF27" s="14">
        <v>609.95</v>
      </c>
      <c r="AI27" s="7">
        <f t="shared" si="0"/>
        <v>25791.37</v>
      </c>
      <c r="AJ27" s="19">
        <f t="shared" si="1"/>
        <v>232122.33</v>
      </c>
      <c r="AK27" s="1">
        <v>266247</v>
      </c>
      <c r="AL27" s="19">
        <f t="shared" si="2"/>
        <v>34124.67000000001</v>
      </c>
    </row>
    <row r="28" spans="1:38" ht="12.75">
      <c r="A28" s="2">
        <v>121</v>
      </c>
      <c r="Q28" s="14">
        <v>1091.24</v>
      </c>
      <c r="AI28" s="7">
        <f t="shared" si="0"/>
        <v>1091.24</v>
      </c>
      <c r="AJ28" s="19">
        <f t="shared" si="1"/>
        <v>9821.16</v>
      </c>
      <c r="AK28" s="1">
        <v>2871</v>
      </c>
      <c r="AL28" s="19">
        <f t="shared" si="2"/>
        <v>-6950.16</v>
      </c>
    </row>
    <row r="29" spans="1:38" ht="12.75">
      <c r="A29" s="2">
        <v>150</v>
      </c>
      <c r="B29" s="14">
        <v>2361.35</v>
      </c>
      <c r="AB29" s="14">
        <v>165</v>
      </c>
      <c r="AI29" s="7">
        <f t="shared" si="0"/>
        <v>2526.35</v>
      </c>
      <c r="AJ29" s="19">
        <f t="shared" si="1"/>
        <v>22737.149999999998</v>
      </c>
      <c r="AK29" s="1">
        <v>39658</v>
      </c>
      <c r="AL29" s="19">
        <f t="shared" si="2"/>
        <v>16920.850000000002</v>
      </c>
    </row>
    <row r="30" spans="1:40" ht="12.75">
      <c r="A30" s="2">
        <v>191</v>
      </c>
      <c r="AJ30" s="19"/>
      <c r="AK30" s="1">
        <v>1000</v>
      </c>
      <c r="AL30" s="19">
        <f t="shared" si="2"/>
        <v>1000</v>
      </c>
      <c r="AM30" t="s">
        <v>158</v>
      </c>
      <c r="AN30" s="20"/>
    </row>
    <row r="31" spans="1:40" ht="12.75">
      <c r="A31" s="2">
        <v>192</v>
      </c>
      <c r="B31" s="14">
        <v>0</v>
      </c>
      <c r="I31" s="14">
        <v>3000</v>
      </c>
      <c r="AI31" s="7">
        <f t="shared" si="0"/>
        <v>3000</v>
      </c>
      <c r="AJ31" s="19">
        <f t="shared" si="1"/>
        <v>27000</v>
      </c>
      <c r="AK31" s="1">
        <v>25000</v>
      </c>
      <c r="AL31" s="19">
        <f t="shared" si="2"/>
        <v>-2000</v>
      </c>
      <c r="AM31" t="s">
        <v>161</v>
      </c>
      <c r="AN31" s="19">
        <v>-1000</v>
      </c>
    </row>
    <row r="32" spans="1:40" ht="12.75">
      <c r="A32" s="2">
        <v>195</v>
      </c>
      <c r="B32" s="14">
        <v>0</v>
      </c>
      <c r="C32" s="14">
        <v>270.11</v>
      </c>
      <c r="D32" s="10">
        <v>254.83</v>
      </c>
      <c r="AI32" s="7">
        <f t="shared" si="0"/>
        <v>524.94</v>
      </c>
      <c r="AJ32" s="19">
        <f t="shared" si="1"/>
        <v>4724.460000000001</v>
      </c>
      <c r="AK32" s="1">
        <v>3521</v>
      </c>
      <c r="AL32" s="19">
        <f t="shared" si="2"/>
        <v>-1203.460000000001</v>
      </c>
      <c r="AM32" t="s">
        <v>160</v>
      </c>
      <c r="AN32" s="19">
        <f>AL33+AL35+AL39+AL56</f>
        <v>152011.19</v>
      </c>
    </row>
    <row r="33" spans="1:40" ht="15" customHeight="1">
      <c r="A33" s="2">
        <v>196</v>
      </c>
      <c r="B33" s="14">
        <v>12455.64</v>
      </c>
      <c r="F33" s="14">
        <v>211.97</v>
      </c>
      <c r="I33" s="14">
        <v>3000</v>
      </c>
      <c r="K33" s="14">
        <v>2.73</v>
      </c>
      <c r="L33" s="14">
        <v>300</v>
      </c>
      <c r="M33" s="14">
        <v>108.64</v>
      </c>
      <c r="N33" s="14">
        <v>900</v>
      </c>
      <c r="V33" s="15">
        <v>1949.85</v>
      </c>
      <c r="X33" s="14">
        <v>393.83</v>
      </c>
      <c r="Y33" s="14">
        <v>175.57</v>
      </c>
      <c r="Z33" s="14">
        <v>225.56</v>
      </c>
      <c r="AA33" s="14">
        <v>649.95</v>
      </c>
      <c r="AB33" s="14">
        <v>660</v>
      </c>
      <c r="AC33" s="14">
        <v>64.99</v>
      </c>
      <c r="AF33" s="14">
        <v>947.36</v>
      </c>
      <c r="AI33" s="7">
        <f t="shared" si="0"/>
        <v>22046.09</v>
      </c>
      <c r="AJ33" s="19">
        <f t="shared" si="1"/>
        <v>198414.81</v>
      </c>
      <c r="AK33" s="1">
        <v>317880</v>
      </c>
      <c r="AL33" s="19">
        <f t="shared" si="2"/>
        <v>119465.19</v>
      </c>
      <c r="AM33" s="21">
        <v>0.1</v>
      </c>
      <c r="AN33" s="19">
        <f>-AL32-AL34-AL36-AL37-AL38-AL53-AL54-AL55</f>
        <v>256902.3800000002</v>
      </c>
    </row>
    <row r="34" spans="1:40" ht="15" customHeight="1">
      <c r="A34" s="2">
        <v>197</v>
      </c>
      <c r="Q34" s="14">
        <v>1425.83</v>
      </c>
      <c r="AI34" s="7">
        <f t="shared" si="0"/>
        <v>1425.83</v>
      </c>
      <c r="AJ34" s="19">
        <f t="shared" si="1"/>
        <v>12832.47</v>
      </c>
      <c r="AK34" s="1">
        <v>5318</v>
      </c>
      <c r="AL34" s="19">
        <f t="shared" si="2"/>
        <v>-7514.469999999999</v>
      </c>
      <c r="AM34" t="s">
        <v>161</v>
      </c>
      <c r="AN34" s="19">
        <f>AN32-AN33</f>
        <v>-104891.1900000002</v>
      </c>
    </row>
    <row r="35" spans="1:38" ht="15" customHeight="1">
      <c r="A35" s="2">
        <v>206</v>
      </c>
      <c r="AI35" s="7">
        <f t="shared" si="0"/>
        <v>0</v>
      </c>
      <c r="AJ35" s="19">
        <f t="shared" si="1"/>
        <v>0</v>
      </c>
      <c r="AK35" s="1">
        <v>8022</v>
      </c>
      <c r="AL35" s="19">
        <f t="shared" si="2"/>
        <v>8022</v>
      </c>
    </row>
    <row r="36" spans="1:38" ht="15" customHeight="1">
      <c r="A36" s="2">
        <v>210</v>
      </c>
      <c r="B36" s="14">
        <v>0</v>
      </c>
      <c r="C36" s="14">
        <v>224.26</v>
      </c>
      <c r="D36" s="10">
        <v>209.43</v>
      </c>
      <c r="AI36" s="7">
        <f t="shared" si="0"/>
        <v>433.69</v>
      </c>
      <c r="AJ36" s="19">
        <f t="shared" si="1"/>
        <v>3903.21</v>
      </c>
      <c r="AK36" s="1">
        <v>2296</v>
      </c>
      <c r="AL36" s="19">
        <f t="shared" si="2"/>
        <v>-1607.21</v>
      </c>
    </row>
    <row r="37" spans="1:38" ht="12.75">
      <c r="A37" s="2">
        <v>211</v>
      </c>
      <c r="B37" s="14">
        <v>7588.24</v>
      </c>
      <c r="F37" s="14">
        <v>148.38</v>
      </c>
      <c r="L37" s="14">
        <v>300</v>
      </c>
      <c r="N37" s="14">
        <v>300</v>
      </c>
      <c r="AI37" s="7">
        <f t="shared" si="0"/>
        <v>8336.619999999999</v>
      </c>
      <c r="AJ37" s="19">
        <f t="shared" si="1"/>
        <v>75029.57999999999</v>
      </c>
      <c r="AK37" s="1">
        <v>57111</v>
      </c>
      <c r="AL37" s="19">
        <f t="shared" si="2"/>
        <v>-17918.579999999987</v>
      </c>
    </row>
    <row r="38" spans="1:38" ht="12.75">
      <c r="A38" s="2">
        <v>212</v>
      </c>
      <c r="Q38" s="14">
        <v>468.99</v>
      </c>
      <c r="AI38" s="7">
        <f t="shared" si="0"/>
        <v>468.99</v>
      </c>
      <c r="AJ38" s="19">
        <f t="shared" si="1"/>
        <v>4220.91</v>
      </c>
      <c r="AK38" s="1">
        <v>3581</v>
      </c>
      <c r="AL38" s="19">
        <f t="shared" si="2"/>
        <v>-639.9099999999999</v>
      </c>
    </row>
    <row r="39" spans="1:38" ht="12.75">
      <c r="A39" s="2">
        <v>215</v>
      </c>
      <c r="AI39" s="7">
        <f t="shared" si="0"/>
        <v>0</v>
      </c>
      <c r="AJ39" s="19">
        <f t="shared" si="1"/>
        <v>0</v>
      </c>
      <c r="AK39" s="1">
        <v>6010</v>
      </c>
      <c r="AL39" s="19">
        <f t="shared" si="2"/>
        <v>6010</v>
      </c>
    </row>
    <row r="40" spans="1:40" ht="12.75">
      <c r="A40" s="2">
        <v>218</v>
      </c>
      <c r="B40" s="14">
        <v>0</v>
      </c>
      <c r="C40" s="14">
        <v>15.28</v>
      </c>
      <c r="D40" s="10">
        <v>14.83</v>
      </c>
      <c r="AI40" s="7">
        <f t="shared" si="0"/>
        <v>30.11</v>
      </c>
      <c r="AJ40" s="19">
        <f t="shared" si="1"/>
        <v>270.99</v>
      </c>
      <c r="AK40" s="1">
        <v>441</v>
      </c>
      <c r="AL40" s="19">
        <f t="shared" si="2"/>
        <v>170.01</v>
      </c>
      <c r="AM40" t="s">
        <v>163</v>
      </c>
      <c r="AN40" s="19">
        <f>AL40+AL41+AL42</f>
        <v>10108.16</v>
      </c>
    </row>
    <row r="41" spans="1:40" ht="12.75">
      <c r="A41" s="2">
        <v>219</v>
      </c>
      <c r="B41" s="14">
        <v>759.58</v>
      </c>
      <c r="X41" s="14">
        <v>27.32</v>
      </c>
      <c r="Y41" s="14">
        <v>16.56</v>
      </c>
      <c r="AF41" s="14">
        <v>214.19</v>
      </c>
      <c r="AI41" s="7">
        <f aca="true" t="shared" si="3" ref="AI41:AI73">SUM(B41:AG41)</f>
        <v>1017.6500000000001</v>
      </c>
      <c r="AJ41" s="19">
        <f t="shared" si="1"/>
        <v>9158.85</v>
      </c>
      <c r="AK41" s="1">
        <v>18897</v>
      </c>
      <c r="AL41" s="19">
        <f t="shared" si="2"/>
        <v>9738.15</v>
      </c>
      <c r="AM41" t="s">
        <v>162</v>
      </c>
      <c r="AN41" s="19">
        <f>AN40</f>
        <v>10108.16</v>
      </c>
    </row>
    <row r="42" spans="1:38" ht="12.75">
      <c r="A42" s="2">
        <v>220</v>
      </c>
      <c r="AJ42" s="19"/>
      <c r="AK42" s="1">
        <v>200</v>
      </c>
      <c r="AL42" s="19">
        <f t="shared" si="2"/>
        <v>200</v>
      </c>
    </row>
    <row r="43" spans="1:40" ht="12.75">
      <c r="A43" s="2">
        <v>225</v>
      </c>
      <c r="AJ43" s="19"/>
      <c r="AK43" s="1">
        <v>12859</v>
      </c>
      <c r="AL43" s="19">
        <f t="shared" si="2"/>
        <v>12859</v>
      </c>
      <c r="AM43" t="s">
        <v>160</v>
      </c>
      <c r="AN43" s="19">
        <f>AL43+AL44+AL45+AL45+AL46</f>
        <v>420859</v>
      </c>
    </row>
    <row r="44" spans="1:39" ht="12.75">
      <c r="A44" s="2">
        <v>226</v>
      </c>
      <c r="AJ44" s="19"/>
      <c r="AK44" s="1">
        <v>362000</v>
      </c>
      <c r="AL44" s="19">
        <f t="shared" si="2"/>
        <v>362000</v>
      </c>
      <c r="AM44" s="21">
        <v>0.15</v>
      </c>
    </row>
    <row r="45" spans="1:40" ht="12.75">
      <c r="A45" s="2">
        <v>228</v>
      </c>
      <c r="AJ45" s="19"/>
      <c r="AK45" s="1">
        <v>10000</v>
      </c>
      <c r="AL45" s="19">
        <f t="shared" si="2"/>
        <v>10000</v>
      </c>
      <c r="AM45" t="s">
        <v>162</v>
      </c>
      <c r="AN45" s="19">
        <f>AN43</f>
        <v>420859</v>
      </c>
    </row>
    <row r="46" spans="1:38" ht="12.75">
      <c r="A46" s="2">
        <v>235</v>
      </c>
      <c r="AJ46" s="19"/>
      <c r="AK46" s="1">
        <v>26000</v>
      </c>
      <c r="AL46" s="19">
        <f t="shared" si="2"/>
        <v>26000</v>
      </c>
    </row>
    <row r="47" spans="1:40" ht="12.75">
      <c r="A47" s="2">
        <v>246</v>
      </c>
      <c r="B47" s="14">
        <v>0</v>
      </c>
      <c r="C47" s="14">
        <v>2700.83</v>
      </c>
      <c r="D47" s="10">
        <v>1500.61</v>
      </c>
      <c r="E47" s="10">
        <v>861.41</v>
      </c>
      <c r="AI47" s="7">
        <f t="shared" si="3"/>
        <v>5062.849999999999</v>
      </c>
      <c r="AJ47" s="19">
        <f t="shared" si="1"/>
        <v>45565.649999999994</v>
      </c>
      <c r="AK47" s="1">
        <v>57371</v>
      </c>
      <c r="AL47" s="19">
        <f t="shared" si="2"/>
        <v>11805.350000000006</v>
      </c>
      <c r="AM47" t="s">
        <v>164</v>
      </c>
      <c r="AN47" s="19">
        <f>AL47+AL48+AL52</f>
        <v>838469.6099999998</v>
      </c>
    </row>
    <row r="48" spans="1:40" ht="12.75">
      <c r="A48" s="2">
        <v>247</v>
      </c>
      <c r="B48" s="14">
        <v>101411.33</v>
      </c>
      <c r="K48" s="14">
        <v>9632.41</v>
      </c>
      <c r="L48" s="14">
        <v>1401.7</v>
      </c>
      <c r="M48" s="14">
        <v>98.17</v>
      </c>
      <c r="N48" s="14">
        <v>11400</v>
      </c>
      <c r="S48">
        <v>72.87</v>
      </c>
      <c r="T48" s="14">
        <v>2121.35</v>
      </c>
      <c r="V48" s="15">
        <v>78433.49</v>
      </c>
      <c r="X48" s="14">
        <v>3931.03</v>
      </c>
      <c r="Y48" s="14">
        <v>2076.63</v>
      </c>
      <c r="AC48" s="14">
        <v>4237.31</v>
      </c>
      <c r="AD48" s="14">
        <v>15189.94</v>
      </c>
      <c r="AF48" s="14">
        <v>7435.63</v>
      </c>
      <c r="AI48" s="7">
        <f t="shared" si="3"/>
        <v>237441.86000000002</v>
      </c>
      <c r="AJ48" s="19">
        <f t="shared" si="1"/>
        <v>2136976.74</v>
      </c>
      <c r="AK48" s="1">
        <v>2962673</v>
      </c>
      <c r="AL48" s="19">
        <f t="shared" si="2"/>
        <v>825696.2599999998</v>
      </c>
      <c r="AN48" s="19">
        <f>-AL49-AL50-AL51</f>
        <v>799132.74</v>
      </c>
    </row>
    <row r="49" spans="1:40" ht="12.75">
      <c r="A49" s="2">
        <v>250</v>
      </c>
      <c r="B49" s="14">
        <v>0</v>
      </c>
      <c r="C49" s="14">
        <v>1244.33</v>
      </c>
      <c r="D49" s="10">
        <v>2866.77</v>
      </c>
      <c r="AI49" s="7">
        <f t="shared" si="3"/>
        <v>4111.1</v>
      </c>
      <c r="AJ49" s="19">
        <f t="shared" si="1"/>
        <v>36999.9</v>
      </c>
      <c r="AK49" s="1">
        <v>2800</v>
      </c>
      <c r="AL49" s="19">
        <f t="shared" si="2"/>
        <v>-34199.9</v>
      </c>
      <c r="AM49" t="s">
        <v>162</v>
      </c>
      <c r="AN49" s="19">
        <f>AN47-AN48</f>
        <v>39336.86999999976</v>
      </c>
    </row>
    <row r="50" spans="1:38" ht="12.75">
      <c r="A50" s="2">
        <v>251</v>
      </c>
      <c r="B50" s="14">
        <v>70393.92</v>
      </c>
      <c r="F50" s="14">
        <v>1210.9</v>
      </c>
      <c r="L50" s="14">
        <v>300</v>
      </c>
      <c r="M50" s="14">
        <v>83.99</v>
      </c>
      <c r="N50" s="14">
        <v>3720</v>
      </c>
      <c r="X50" s="14">
        <v>1162.54</v>
      </c>
      <c r="Y50" s="14">
        <v>682.97</v>
      </c>
      <c r="AB50" s="14">
        <v>1870</v>
      </c>
      <c r="AF50" s="14">
        <v>1893.48</v>
      </c>
      <c r="AI50" s="7">
        <f t="shared" si="3"/>
        <v>81317.79999999999</v>
      </c>
      <c r="AJ50" s="19">
        <f t="shared" si="1"/>
        <v>731860.2</v>
      </c>
      <c r="AK50" s="1">
        <v>4354</v>
      </c>
      <c r="AL50" s="19">
        <f t="shared" si="2"/>
        <v>-727506.2</v>
      </c>
    </row>
    <row r="51" spans="1:38" ht="12.75">
      <c r="A51" s="2">
        <v>253</v>
      </c>
      <c r="Q51" s="14">
        <v>4265.96</v>
      </c>
      <c r="AI51" s="7">
        <f t="shared" si="3"/>
        <v>4265.96</v>
      </c>
      <c r="AJ51" s="19">
        <f t="shared" si="1"/>
        <v>38393.64</v>
      </c>
      <c r="AK51" s="1">
        <v>967</v>
      </c>
      <c r="AL51" s="19">
        <f t="shared" si="2"/>
        <v>-37426.64</v>
      </c>
    </row>
    <row r="52" spans="1:38" ht="12.75">
      <c r="A52" s="2">
        <v>255</v>
      </c>
      <c r="AI52" s="7">
        <f t="shared" si="3"/>
        <v>0</v>
      </c>
      <c r="AJ52" s="19">
        <f t="shared" si="1"/>
        <v>0</v>
      </c>
      <c r="AK52" s="1">
        <v>968</v>
      </c>
      <c r="AL52" s="19">
        <f t="shared" si="2"/>
        <v>968</v>
      </c>
    </row>
    <row r="53" spans="1:38" ht="12.75">
      <c r="A53" s="2">
        <v>257</v>
      </c>
      <c r="B53" s="14">
        <v>0</v>
      </c>
      <c r="C53" s="14">
        <v>1216.69</v>
      </c>
      <c r="D53" s="10">
        <v>3005.99</v>
      </c>
      <c r="E53" s="10">
        <v>490.86</v>
      </c>
      <c r="AI53" s="7">
        <f t="shared" si="3"/>
        <v>4713.54</v>
      </c>
      <c r="AJ53" s="19">
        <f t="shared" si="1"/>
        <v>42421.86</v>
      </c>
      <c r="AK53" s="1">
        <v>18387</v>
      </c>
      <c r="AL53" s="19">
        <f t="shared" si="2"/>
        <v>-24034.86</v>
      </c>
    </row>
    <row r="54" spans="1:38" ht="12.75">
      <c r="A54" s="2">
        <v>258</v>
      </c>
      <c r="B54" s="14">
        <v>90980.16</v>
      </c>
      <c r="F54" s="14">
        <v>850.75</v>
      </c>
      <c r="K54" s="14">
        <v>4731.8</v>
      </c>
      <c r="L54" s="14">
        <v>855.22</v>
      </c>
      <c r="N54" s="14">
        <v>4380</v>
      </c>
      <c r="X54" s="14">
        <v>1355.02</v>
      </c>
      <c r="Y54" s="14">
        <v>650.08</v>
      </c>
      <c r="AB54" s="14">
        <v>1980</v>
      </c>
      <c r="AC54" s="14">
        <v>379.13</v>
      </c>
      <c r="AD54" s="14">
        <v>3073.96</v>
      </c>
      <c r="AF54" s="14">
        <v>2368.24</v>
      </c>
      <c r="AI54" s="7">
        <f t="shared" si="3"/>
        <v>111604.36000000003</v>
      </c>
      <c r="AJ54" s="19">
        <f t="shared" si="1"/>
        <v>1004439.2400000002</v>
      </c>
      <c r="AK54" s="1">
        <v>809154</v>
      </c>
      <c r="AL54" s="19">
        <f t="shared" si="2"/>
        <v>-195285.24000000022</v>
      </c>
    </row>
    <row r="55" spans="1:38" ht="12.75">
      <c r="A55" s="2">
        <v>259</v>
      </c>
      <c r="Q55" s="14">
        <v>2544.85</v>
      </c>
      <c r="AI55" s="7">
        <f t="shared" si="3"/>
        <v>2544.85</v>
      </c>
      <c r="AJ55" s="19">
        <f t="shared" si="1"/>
        <v>22903.649999999998</v>
      </c>
      <c r="AK55" s="1">
        <v>14205</v>
      </c>
      <c r="AL55" s="19">
        <f t="shared" si="2"/>
        <v>-8698.649999999998</v>
      </c>
    </row>
    <row r="56" spans="1:38" ht="12.75">
      <c r="A56" s="2">
        <v>264</v>
      </c>
      <c r="AI56" s="7">
        <f t="shared" si="3"/>
        <v>0</v>
      </c>
      <c r="AJ56" s="19">
        <f t="shared" si="1"/>
        <v>0</v>
      </c>
      <c r="AK56" s="1">
        <v>18514</v>
      </c>
      <c r="AL56" s="19">
        <f t="shared" si="2"/>
        <v>18514</v>
      </c>
    </row>
    <row r="57" spans="1:40" ht="12.75">
      <c r="A57" s="2">
        <v>273</v>
      </c>
      <c r="B57" s="14">
        <v>0</v>
      </c>
      <c r="C57" s="14">
        <v>59.32</v>
      </c>
      <c r="D57" s="10">
        <v>22</v>
      </c>
      <c r="AI57" s="7">
        <f t="shared" si="3"/>
        <v>81.32</v>
      </c>
      <c r="AJ57" s="19">
        <f t="shared" si="1"/>
        <v>731.8799999999999</v>
      </c>
      <c r="AK57" s="1">
        <v>1625</v>
      </c>
      <c r="AL57" s="19">
        <f t="shared" si="2"/>
        <v>893.1200000000001</v>
      </c>
      <c r="AM57" t="s">
        <v>163</v>
      </c>
      <c r="AN57" s="19">
        <f>AL57+AL58+AL59+AL60+AL61+AL62+AL63+AL64+AL65+AL66+AL67+AL68</f>
        <v>45858.31</v>
      </c>
    </row>
    <row r="58" spans="1:40" ht="12.75">
      <c r="A58" s="2">
        <v>274</v>
      </c>
      <c r="B58" s="14">
        <v>3373.4</v>
      </c>
      <c r="X58" s="14">
        <v>212.38</v>
      </c>
      <c r="Y58" s="14">
        <v>70.55</v>
      </c>
      <c r="AF58" s="14">
        <v>337</v>
      </c>
      <c r="AI58" s="7">
        <f t="shared" si="3"/>
        <v>3993.3300000000004</v>
      </c>
      <c r="AJ58" s="19">
        <f t="shared" si="1"/>
        <v>35939.97</v>
      </c>
      <c r="AK58" s="1">
        <v>43243</v>
      </c>
      <c r="AL58" s="19">
        <f t="shared" si="2"/>
        <v>7303.029999999999</v>
      </c>
      <c r="AM58" t="s">
        <v>162</v>
      </c>
      <c r="AN58" s="19">
        <f>AN57</f>
        <v>45858.31</v>
      </c>
    </row>
    <row r="59" spans="1:38" ht="12.75">
      <c r="A59" s="2">
        <v>275</v>
      </c>
      <c r="AJ59" s="19"/>
      <c r="AK59" s="1">
        <v>1000</v>
      </c>
      <c r="AL59" s="19">
        <f t="shared" si="2"/>
        <v>1000</v>
      </c>
    </row>
    <row r="60" spans="1:38" ht="12.75">
      <c r="A60" s="2">
        <v>280</v>
      </c>
      <c r="AJ60" s="19"/>
      <c r="AK60" s="1">
        <v>2500</v>
      </c>
      <c r="AL60" s="19">
        <f t="shared" si="2"/>
        <v>2500</v>
      </c>
    </row>
    <row r="61" spans="1:38" ht="12.75">
      <c r="A61" s="2">
        <v>282</v>
      </c>
      <c r="AJ61" s="19"/>
      <c r="AK61" s="1">
        <v>1500</v>
      </c>
      <c r="AL61" s="19">
        <f t="shared" si="2"/>
        <v>1500</v>
      </c>
    </row>
    <row r="62" spans="1:38" ht="12.75">
      <c r="A62" s="2">
        <v>283</v>
      </c>
      <c r="B62" s="14">
        <v>839.96</v>
      </c>
      <c r="X62" s="14">
        <v>39.22</v>
      </c>
      <c r="Y62" s="14">
        <v>41.98</v>
      </c>
      <c r="AF62" s="14">
        <v>167.99</v>
      </c>
      <c r="AI62" s="7">
        <f t="shared" si="3"/>
        <v>1089.15</v>
      </c>
      <c r="AJ62" s="19">
        <f t="shared" si="1"/>
        <v>9802.35</v>
      </c>
      <c r="AK62" s="1">
        <v>23274</v>
      </c>
      <c r="AL62" s="19">
        <f t="shared" si="2"/>
        <v>13471.65</v>
      </c>
    </row>
    <row r="63" spans="1:38" ht="12.75">
      <c r="A63" s="2">
        <v>284</v>
      </c>
      <c r="AJ63" s="19"/>
      <c r="AK63" s="1">
        <v>1000</v>
      </c>
      <c r="AL63" s="19">
        <f t="shared" si="2"/>
        <v>1000</v>
      </c>
    </row>
    <row r="64" spans="1:38" ht="12.75">
      <c r="A64" s="2">
        <v>291</v>
      </c>
      <c r="AJ64" s="19"/>
      <c r="AK64" s="1">
        <v>2000</v>
      </c>
      <c r="AL64" s="19">
        <f t="shared" si="2"/>
        <v>2000</v>
      </c>
    </row>
    <row r="65" spans="1:38" ht="12.75">
      <c r="A65" s="2">
        <v>301</v>
      </c>
      <c r="C65" s="14">
        <v>14.83</v>
      </c>
      <c r="AI65" s="7">
        <f t="shared" si="3"/>
        <v>14.83</v>
      </c>
      <c r="AJ65" s="19">
        <f t="shared" si="1"/>
        <v>133.47</v>
      </c>
      <c r="AK65" s="1">
        <v>3469</v>
      </c>
      <c r="AL65" s="19">
        <f t="shared" si="2"/>
        <v>3335.53</v>
      </c>
    </row>
    <row r="66" spans="1:38" ht="12.75">
      <c r="A66" s="2">
        <v>302</v>
      </c>
      <c r="B66" s="14">
        <v>1083.81</v>
      </c>
      <c r="N66" s="14">
        <v>120</v>
      </c>
      <c r="V66" s="15">
        <v>519.96</v>
      </c>
      <c r="Z66" s="14">
        <v>541.36</v>
      </c>
      <c r="AD66" s="14">
        <v>54.65</v>
      </c>
      <c r="AI66" s="7">
        <f t="shared" si="3"/>
        <v>2319.78</v>
      </c>
      <c r="AJ66" s="19">
        <f t="shared" si="1"/>
        <v>20878.02</v>
      </c>
      <c r="AK66" s="1">
        <v>27733</v>
      </c>
      <c r="AL66" s="19">
        <f t="shared" si="2"/>
        <v>6854.98</v>
      </c>
    </row>
    <row r="67" spans="1:38" ht="12.75">
      <c r="A67" s="2">
        <v>303</v>
      </c>
      <c r="AJ67" s="19"/>
      <c r="AK67" s="1">
        <v>2400</v>
      </c>
      <c r="AL67" s="19">
        <f t="shared" si="2"/>
        <v>2400</v>
      </c>
    </row>
    <row r="68" spans="1:38" ht="12.75">
      <c r="A68" s="2">
        <v>309</v>
      </c>
      <c r="AJ68" s="19"/>
      <c r="AK68" s="1">
        <v>3600</v>
      </c>
      <c r="AL68" s="19">
        <f aca="true" t="shared" si="4" ref="AL68:AL135">AK68-AJ68</f>
        <v>3600</v>
      </c>
    </row>
    <row r="69" spans="1:40" ht="12.75">
      <c r="A69" s="2">
        <v>311</v>
      </c>
      <c r="B69" s="14">
        <v>5069.64</v>
      </c>
      <c r="F69" s="14">
        <v>70.7</v>
      </c>
      <c r="G69">
        <v>182.48</v>
      </c>
      <c r="I69" s="14">
        <v>3000</v>
      </c>
      <c r="L69" s="14">
        <v>419.98</v>
      </c>
      <c r="M69" s="14">
        <v>85.67</v>
      </c>
      <c r="N69" s="14">
        <v>900</v>
      </c>
      <c r="O69" s="14">
        <v>720</v>
      </c>
      <c r="X69" s="14">
        <v>206.46</v>
      </c>
      <c r="Y69" s="14">
        <v>114.36</v>
      </c>
      <c r="AB69" s="14">
        <v>660</v>
      </c>
      <c r="AF69" s="14">
        <v>732.05</v>
      </c>
      <c r="AI69" s="7">
        <f t="shared" si="3"/>
        <v>12161.339999999998</v>
      </c>
      <c r="AJ69" s="19">
        <f t="shared" si="1"/>
        <v>109452.05999999998</v>
      </c>
      <c r="AK69" s="1">
        <v>265359</v>
      </c>
      <c r="AL69" s="19">
        <f t="shared" si="4"/>
        <v>155906.94</v>
      </c>
      <c r="AM69" t="s">
        <v>163</v>
      </c>
      <c r="AN69" s="19">
        <f>AL69+AL70</f>
        <v>156733.65</v>
      </c>
    </row>
    <row r="70" spans="1:40" ht="12.75">
      <c r="A70" s="2">
        <v>312</v>
      </c>
      <c r="Q70" s="14">
        <v>278.81</v>
      </c>
      <c r="AI70" s="7">
        <f t="shared" si="3"/>
        <v>278.81</v>
      </c>
      <c r="AJ70" s="19">
        <f t="shared" si="1"/>
        <v>2509.29</v>
      </c>
      <c r="AK70" s="1">
        <v>3336</v>
      </c>
      <c r="AL70" s="19">
        <f t="shared" si="4"/>
        <v>826.71</v>
      </c>
      <c r="AN70" s="19">
        <f>-AL71-AL72-AL73-AL74</f>
        <v>59744.60999999995</v>
      </c>
    </row>
    <row r="71" spans="1:40" ht="12.75">
      <c r="A71" s="2">
        <v>338</v>
      </c>
      <c r="B71" s="14">
        <v>12055.34</v>
      </c>
      <c r="F71" s="14">
        <v>143.08</v>
      </c>
      <c r="G71">
        <v>427.39</v>
      </c>
      <c r="K71" s="14">
        <v>158.61</v>
      </c>
      <c r="N71" s="14">
        <v>1620</v>
      </c>
      <c r="O71" s="14">
        <v>120</v>
      </c>
      <c r="X71" s="14">
        <v>236.73</v>
      </c>
      <c r="Y71" s="14">
        <v>112.88</v>
      </c>
      <c r="Z71" s="14">
        <v>1398.52</v>
      </c>
      <c r="AB71" s="14">
        <v>1870</v>
      </c>
      <c r="AF71" s="14">
        <v>831.98</v>
      </c>
      <c r="AI71" s="7">
        <f t="shared" si="3"/>
        <v>18974.53</v>
      </c>
      <c r="AJ71" s="19">
        <f t="shared" si="1"/>
        <v>170770.77</v>
      </c>
      <c r="AK71" s="1">
        <v>144419</v>
      </c>
      <c r="AL71" s="19">
        <f t="shared" si="4"/>
        <v>-26351.76999999999</v>
      </c>
      <c r="AM71" t="s">
        <v>162</v>
      </c>
      <c r="AN71" s="19">
        <f>AN69-AN70</f>
        <v>96989.04000000004</v>
      </c>
    </row>
    <row r="72" spans="1:38" ht="12.75">
      <c r="A72" s="2">
        <v>339</v>
      </c>
      <c r="Q72" s="14">
        <v>629.82</v>
      </c>
      <c r="AI72" s="7">
        <f t="shared" si="3"/>
        <v>629.82</v>
      </c>
      <c r="AJ72" s="19">
        <f t="shared" si="1"/>
        <v>5668.38</v>
      </c>
      <c r="AK72" s="1">
        <v>930</v>
      </c>
      <c r="AL72" s="19">
        <f t="shared" si="4"/>
        <v>-4738.38</v>
      </c>
    </row>
    <row r="73" spans="1:38" ht="12.75">
      <c r="A73" s="2">
        <v>352</v>
      </c>
      <c r="B73" s="14">
        <v>40872.97</v>
      </c>
      <c r="F73" s="14">
        <v>219.88</v>
      </c>
      <c r="G73">
        <v>2251.67</v>
      </c>
      <c r="L73" s="14">
        <v>900</v>
      </c>
      <c r="M73" s="14">
        <v>62.42</v>
      </c>
      <c r="N73" s="14">
        <v>12660</v>
      </c>
      <c r="O73" s="14">
        <v>3120</v>
      </c>
      <c r="X73" s="14">
        <v>1618.1</v>
      </c>
      <c r="Y73" s="14">
        <v>659.64</v>
      </c>
      <c r="AB73" s="14">
        <v>7095</v>
      </c>
      <c r="AF73" s="14">
        <v>3393.19</v>
      </c>
      <c r="AI73" s="7">
        <f t="shared" si="3"/>
        <v>72852.87</v>
      </c>
      <c r="AJ73" s="19">
        <f t="shared" si="1"/>
        <v>655675.83</v>
      </c>
      <c r="AK73" s="1">
        <v>646844</v>
      </c>
      <c r="AL73" s="19">
        <f t="shared" si="4"/>
        <v>-8831.829999999958</v>
      </c>
    </row>
    <row r="74" spans="1:38" ht="12.75">
      <c r="A74" s="2">
        <v>353</v>
      </c>
      <c r="Q74" s="14">
        <v>4957.07</v>
      </c>
      <c r="AI74" s="7">
        <f>SUM(B74:AG74)</f>
        <v>4957.07</v>
      </c>
      <c r="AJ74" s="19">
        <f t="shared" si="1"/>
        <v>44613.63</v>
      </c>
      <c r="AK74" s="1">
        <v>24791</v>
      </c>
      <c r="AL74" s="19">
        <f t="shared" si="4"/>
        <v>-19822.629999999997</v>
      </c>
    </row>
    <row r="75" spans="1:40" ht="12.75">
      <c r="A75" s="2">
        <v>405</v>
      </c>
      <c r="AJ75" s="19"/>
      <c r="AK75" s="1">
        <v>500</v>
      </c>
      <c r="AL75" s="19">
        <f t="shared" si="4"/>
        <v>500</v>
      </c>
      <c r="AM75" t="s">
        <v>165</v>
      </c>
      <c r="AN75" s="19">
        <f>AL75+AL77+AL78+AL80+AL81+AL82+AL83+AL84+AL86+AL87+AL88+AL89+AL90+AL94+AL119+AL121+AL107+AL120+AL122</f>
        <v>220220.76</v>
      </c>
    </row>
    <row r="76" spans="1:40" ht="12.75">
      <c r="A76" s="2">
        <v>406</v>
      </c>
      <c r="B76" s="14">
        <v>7957.12</v>
      </c>
      <c r="C76" s="14">
        <v>105.63</v>
      </c>
      <c r="D76" s="10">
        <v>158.7</v>
      </c>
      <c r="F76" s="14">
        <v>74.19</v>
      </c>
      <c r="J76" s="14">
        <v>36.58</v>
      </c>
      <c r="K76" s="14">
        <v>478.3</v>
      </c>
      <c r="Q76" s="14">
        <v>678.73</v>
      </c>
      <c r="X76" s="14">
        <v>279.69</v>
      </c>
      <c r="Y76" s="14">
        <v>194.28</v>
      </c>
      <c r="Z76" s="14">
        <v>1939.9</v>
      </c>
      <c r="AB76" s="14">
        <v>495</v>
      </c>
      <c r="AH76" s="14">
        <v>388.01</v>
      </c>
      <c r="AI76" s="7">
        <f aca="true" t="shared" si="5" ref="AI76:AI123">SUM(B76:AG76)</f>
        <v>12398.12</v>
      </c>
      <c r="AJ76" s="19">
        <f t="shared" si="1"/>
        <v>111583.08</v>
      </c>
      <c r="AK76" s="1">
        <v>95844</v>
      </c>
      <c r="AL76" s="19">
        <f t="shared" si="4"/>
        <v>-15739.080000000002</v>
      </c>
      <c r="AN76" s="19">
        <f>-AL76-AL79-AL93</f>
        <v>40889.929999999986</v>
      </c>
    </row>
    <row r="77" spans="1:40" ht="12.75">
      <c r="A77" s="2">
        <v>407</v>
      </c>
      <c r="AJ77" s="19"/>
      <c r="AK77" s="1">
        <v>2543</v>
      </c>
      <c r="AL77" s="19">
        <f t="shared" si="4"/>
        <v>2543</v>
      </c>
      <c r="AM77" t="s">
        <v>162</v>
      </c>
      <c r="AN77" s="19">
        <f>AN75-AN76</f>
        <v>179330.83000000002</v>
      </c>
    </row>
    <row r="78" spans="1:38" ht="12.75">
      <c r="A78" s="2">
        <v>417</v>
      </c>
      <c r="AJ78" s="19"/>
      <c r="AK78" s="1">
        <v>5000</v>
      </c>
      <c r="AL78" s="19">
        <f t="shared" si="4"/>
        <v>5000</v>
      </c>
    </row>
    <row r="79" spans="1:38" ht="12.75">
      <c r="A79" s="2">
        <v>418</v>
      </c>
      <c r="B79" s="14">
        <v>4044.87</v>
      </c>
      <c r="C79" s="14">
        <v>59.32</v>
      </c>
      <c r="D79" s="10">
        <v>162.4</v>
      </c>
      <c r="F79" s="14">
        <v>80.74</v>
      </c>
      <c r="N79" s="14">
        <v>420</v>
      </c>
      <c r="Q79" s="14">
        <v>277.06</v>
      </c>
      <c r="X79" s="14">
        <v>47.53</v>
      </c>
      <c r="Y79" s="14">
        <v>100.92</v>
      </c>
      <c r="AB79" s="14">
        <v>550</v>
      </c>
      <c r="AF79" s="14">
        <v>164.7</v>
      </c>
      <c r="AI79" s="7">
        <f t="shared" si="5"/>
        <v>5907.539999999999</v>
      </c>
      <c r="AJ79" s="19">
        <f t="shared" si="1"/>
        <v>53167.85999999999</v>
      </c>
      <c r="AK79" s="1">
        <v>43502</v>
      </c>
      <c r="AL79" s="19">
        <f t="shared" si="4"/>
        <v>-9665.859999999993</v>
      </c>
    </row>
    <row r="80" spans="1:38" ht="12.75">
      <c r="A80" s="2">
        <v>419</v>
      </c>
      <c r="AJ80" s="19"/>
      <c r="AK80" s="1">
        <v>4361</v>
      </c>
      <c r="AL80" s="19">
        <f t="shared" si="4"/>
        <v>4361</v>
      </c>
    </row>
    <row r="81" spans="1:38" ht="12.75">
      <c r="A81" s="2">
        <v>426</v>
      </c>
      <c r="K81" s="14">
        <v>657.81</v>
      </c>
      <c r="AI81" s="7">
        <f t="shared" si="5"/>
        <v>657.81</v>
      </c>
      <c r="AJ81" s="19">
        <f t="shared" si="1"/>
        <v>5920.289999999999</v>
      </c>
      <c r="AK81" s="1">
        <v>12566</v>
      </c>
      <c r="AL81" s="19">
        <f t="shared" si="4"/>
        <v>6645.710000000001</v>
      </c>
    </row>
    <row r="82" spans="1:38" ht="12.75">
      <c r="A82" s="2">
        <v>427</v>
      </c>
      <c r="B82" s="14">
        <v>4315.16</v>
      </c>
      <c r="C82" s="14">
        <v>29.66</v>
      </c>
      <c r="J82" s="14">
        <v>195.95</v>
      </c>
      <c r="K82" s="14">
        <v>438.36</v>
      </c>
      <c r="X82" s="14">
        <v>106.71</v>
      </c>
      <c r="Y82" s="14">
        <v>21</v>
      </c>
      <c r="Z82" s="14">
        <v>1082.73</v>
      </c>
      <c r="AB82" s="14">
        <v>165</v>
      </c>
      <c r="AF82" s="14">
        <v>385.69</v>
      </c>
      <c r="AI82" s="7">
        <f t="shared" si="5"/>
        <v>6740.259999999999</v>
      </c>
      <c r="AJ82" s="19">
        <f t="shared" si="1"/>
        <v>60662.34</v>
      </c>
      <c r="AK82" s="1">
        <v>82463</v>
      </c>
      <c r="AL82" s="19">
        <f t="shared" si="4"/>
        <v>21800.660000000003</v>
      </c>
    </row>
    <row r="83" spans="1:38" ht="12.75">
      <c r="A83" s="2">
        <v>428</v>
      </c>
      <c r="AJ83" s="19"/>
      <c r="AK83" s="1">
        <v>1000</v>
      </c>
      <c r="AL83" s="19">
        <f t="shared" si="4"/>
        <v>1000</v>
      </c>
    </row>
    <row r="84" spans="1:38" ht="12.75">
      <c r="A84" s="2">
        <v>432</v>
      </c>
      <c r="AJ84" s="19"/>
      <c r="AK84" s="1">
        <v>40835</v>
      </c>
      <c r="AL84" s="19">
        <f t="shared" si="4"/>
        <v>40835</v>
      </c>
    </row>
    <row r="85" spans="1:40" ht="12.75">
      <c r="A85" s="2">
        <v>433</v>
      </c>
      <c r="AJ85" s="19"/>
      <c r="AK85" s="1">
        <v>1378</v>
      </c>
      <c r="AL85" s="19">
        <f t="shared" si="4"/>
        <v>1378</v>
      </c>
      <c r="AM85" t="s">
        <v>167</v>
      </c>
      <c r="AN85" s="19">
        <f>AL85+AL97</f>
        <v>2940</v>
      </c>
    </row>
    <row r="86" spans="1:40" ht="12.75">
      <c r="A86" s="2">
        <v>436</v>
      </c>
      <c r="AJ86" s="19"/>
      <c r="AK86" s="1">
        <v>16021</v>
      </c>
      <c r="AL86" s="19">
        <f t="shared" si="4"/>
        <v>16021</v>
      </c>
      <c r="AN86" s="19">
        <f>-AL95-AL96</f>
        <v>130562.37</v>
      </c>
    </row>
    <row r="87" spans="1:40" ht="12.75">
      <c r="A87" s="2">
        <v>440</v>
      </c>
      <c r="B87" s="14">
        <v>10300.24</v>
      </c>
      <c r="C87" s="14">
        <v>177.96</v>
      </c>
      <c r="D87" s="10">
        <v>40.05</v>
      </c>
      <c r="N87" s="14">
        <v>900</v>
      </c>
      <c r="Q87" s="14">
        <v>56.45</v>
      </c>
      <c r="AB87" s="14">
        <v>330</v>
      </c>
      <c r="AH87" s="14">
        <v>1169.55</v>
      </c>
      <c r="AI87" s="7">
        <f t="shared" si="5"/>
        <v>11804.699999999999</v>
      </c>
      <c r="AJ87" s="19">
        <f t="shared" si="1"/>
        <v>106242.29999999999</v>
      </c>
      <c r="AK87" s="1">
        <v>124498</v>
      </c>
      <c r="AL87" s="19">
        <f t="shared" si="4"/>
        <v>18255.70000000001</v>
      </c>
      <c r="AM87" t="s">
        <v>161</v>
      </c>
      <c r="AN87" s="19">
        <f>AN85-AN86</f>
        <v>-127622.37</v>
      </c>
    </row>
    <row r="88" spans="1:38" ht="12.75">
      <c r="A88" s="2">
        <v>441</v>
      </c>
      <c r="B88" s="14">
        <v>9423.66</v>
      </c>
      <c r="C88" s="14">
        <v>296.6</v>
      </c>
      <c r="D88" s="10">
        <v>243.6</v>
      </c>
      <c r="F88" s="14">
        <v>317.96</v>
      </c>
      <c r="N88" s="14">
        <v>780</v>
      </c>
      <c r="Q88" s="14">
        <v>351.75</v>
      </c>
      <c r="X88" s="14">
        <v>239.13</v>
      </c>
      <c r="Y88" s="14">
        <v>91.33</v>
      </c>
      <c r="AB88" s="14">
        <v>825</v>
      </c>
      <c r="AF88" s="14">
        <v>80.74</v>
      </c>
      <c r="AH88" s="14">
        <v>993.63</v>
      </c>
      <c r="AI88" s="7">
        <f t="shared" si="5"/>
        <v>12649.769999999999</v>
      </c>
      <c r="AJ88" s="19">
        <f t="shared" si="1"/>
        <v>113847.93</v>
      </c>
      <c r="AK88" s="1">
        <v>121240</v>
      </c>
      <c r="AL88" s="19">
        <f t="shared" si="4"/>
        <v>7392.070000000007</v>
      </c>
    </row>
    <row r="89" spans="1:38" ht="12.75">
      <c r="A89" s="2">
        <v>442</v>
      </c>
      <c r="AJ89" s="19"/>
      <c r="AK89" s="1">
        <v>4659</v>
      </c>
      <c r="AL89" s="19">
        <f t="shared" si="4"/>
        <v>4659</v>
      </c>
    </row>
    <row r="90" spans="1:38" ht="12.75">
      <c r="A90" s="2">
        <v>449</v>
      </c>
      <c r="B90" s="14">
        <v>6984.18</v>
      </c>
      <c r="C90" s="14">
        <v>103.81</v>
      </c>
      <c r="D90" s="10">
        <v>182.7</v>
      </c>
      <c r="E90" s="10">
        <v>388.01</v>
      </c>
      <c r="L90" s="14">
        <v>291.78</v>
      </c>
      <c r="Q90" s="14">
        <v>27.47</v>
      </c>
      <c r="AB90" s="14">
        <v>990</v>
      </c>
      <c r="AI90" s="7">
        <f t="shared" si="5"/>
        <v>8967.95</v>
      </c>
      <c r="AJ90" s="19">
        <f t="shared" si="1"/>
        <v>80711.55</v>
      </c>
      <c r="AK90" s="1">
        <v>93625</v>
      </c>
      <c r="AL90" s="19">
        <f t="shared" si="4"/>
        <v>12913.449999999997</v>
      </c>
    </row>
    <row r="91" spans="1:40" ht="12.75">
      <c r="A91" s="2">
        <v>450</v>
      </c>
      <c r="B91" s="14">
        <v>26772.69</v>
      </c>
      <c r="C91" s="14">
        <v>284.73</v>
      </c>
      <c r="D91" s="10">
        <v>954.1</v>
      </c>
      <c r="E91" s="10">
        <v>388.01</v>
      </c>
      <c r="L91" s="14">
        <v>41.66</v>
      </c>
      <c r="Q91" s="14">
        <v>27.47</v>
      </c>
      <c r="AB91" s="14">
        <v>3850</v>
      </c>
      <c r="AI91" s="7">
        <f t="shared" si="5"/>
        <v>32318.659999999996</v>
      </c>
      <c r="AJ91" s="19">
        <f t="shared" si="1"/>
        <v>290867.93999999994</v>
      </c>
      <c r="AK91" s="1">
        <v>165085</v>
      </c>
      <c r="AL91" s="19">
        <f t="shared" si="4"/>
        <v>-125782.93999999994</v>
      </c>
      <c r="AM91" t="s">
        <v>166</v>
      </c>
      <c r="AN91" s="19">
        <f>AL92</f>
        <v>5430</v>
      </c>
    </row>
    <row r="92" spans="1:40" ht="12.75">
      <c r="A92" s="2">
        <v>451</v>
      </c>
      <c r="AJ92" s="19"/>
      <c r="AK92" s="1">
        <v>5430</v>
      </c>
      <c r="AL92" s="19">
        <f t="shared" si="4"/>
        <v>5430</v>
      </c>
      <c r="AN92" s="19">
        <v>125782.94</v>
      </c>
    </row>
    <row r="93" spans="1:40" ht="12.75">
      <c r="A93" s="2">
        <v>452</v>
      </c>
      <c r="B93" s="14">
        <v>10461.48</v>
      </c>
      <c r="C93" s="14">
        <v>14.83</v>
      </c>
      <c r="D93" s="10">
        <v>20.3</v>
      </c>
      <c r="L93" s="14">
        <v>1908</v>
      </c>
      <c r="N93" s="14">
        <v>240</v>
      </c>
      <c r="Q93" s="14">
        <v>1300.5</v>
      </c>
      <c r="AB93" s="14">
        <v>220</v>
      </c>
      <c r="AI93" s="7">
        <f t="shared" si="5"/>
        <v>14165.109999999999</v>
      </c>
      <c r="AJ93" s="19">
        <f t="shared" si="1"/>
        <v>127485.98999999999</v>
      </c>
      <c r="AK93" s="1">
        <v>112001</v>
      </c>
      <c r="AL93" s="19">
        <f t="shared" si="4"/>
        <v>-15484.98999999999</v>
      </c>
      <c r="AM93" t="s">
        <v>161</v>
      </c>
      <c r="AN93" s="19">
        <f>AN91-AN92</f>
        <v>-120352.94</v>
      </c>
    </row>
    <row r="94" spans="1:38" ht="12.75">
      <c r="A94" s="2">
        <v>453</v>
      </c>
      <c r="AJ94" s="19"/>
      <c r="AK94" s="1">
        <v>730</v>
      </c>
      <c r="AL94" s="19">
        <f t="shared" si="4"/>
        <v>730</v>
      </c>
    </row>
    <row r="95" spans="1:38" ht="12.75">
      <c r="A95" s="2">
        <v>458</v>
      </c>
      <c r="B95" s="14">
        <v>47820.84</v>
      </c>
      <c r="C95" s="14">
        <v>103.81</v>
      </c>
      <c r="E95" s="10">
        <v>3180</v>
      </c>
      <c r="L95" s="14">
        <v>2342.72</v>
      </c>
      <c r="Q95" s="14">
        <v>1017.14</v>
      </c>
      <c r="AB95" s="14">
        <v>55</v>
      </c>
      <c r="AI95" s="7">
        <f t="shared" si="5"/>
        <v>54519.509999999995</v>
      </c>
      <c r="AJ95" s="19">
        <f t="shared" si="1"/>
        <v>490675.58999999997</v>
      </c>
      <c r="AK95" s="1">
        <v>375097</v>
      </c>
      <c r="AL95" s="19">
        <f t="shared" si="4"/>
        <v>-115578.58999999997</v>
      </c>
    </row>
    <row r="96" spans="1:38" ht="12.75">
      <c r="A96" s="2">
        <v>459</v>
      </c>
      <c r="B96" s="14">
        <v>6032</v>
      </c>
      <c r="C96" s="14">
        <v>133.47</v>
      </c>
      <c r="D96" s="10">
        <v>81.2</v>
      </c>
      <c r="E96" s="10">
        <v>403.68</v>
      </c>
      <c r="K96" s="14">
        <v>8934.64</v>
      </c>
      <c r="L96" s="14">
        <v>370.95</v>
      </c>
      <c r="N96" s="14">
        <v>540</v>
      </c>
      <c r="X96" s="14">
        <v>227.56</v>
      </c>
      <c r="Y96" s="14">
        <v>60.55</v>
      </c>
      <c r="AB96" s="14">
        <v>495</v>
      </c>
      <c r="AF96" s="14">
        <v>40.37</v>
      </c>
      <c r="AI96" s="7">
        <f t="shared" si="5"/>
        <v>17319.420000000002</v>
      </c>
      <c r="AJ96" s="19">
        <f t="shared" si="1"/>
        <v>155874.78000000003</v>
      </c>
      <c r="AK96" s="1">
        <v>140891</v>
      </c>
      <c r="AL96" s="19">
        <f t="shared" si="4"/>
        <v>-14983.780000000028</v>
      </c>
    </row>
    <row r="97" spans="1:38" ht="12.75">
      <c r="A97" s="2">
        <v>460</v>
      </c>
      <c r="AJ97" s="19"/>
      <c r="AK97" s="1">
        <v>1562</v>
      </c>
      <c r="AL97" s="19">
        <f t="shared" si="4"/>
        <v>1562</v>
      </c>
    </row>
    <row r="98" spans="1:38" ht="12.75">
      <c r="A98" s="2">
        <v>465</v>
      </c>
      <c r="B98" s="14">
        <v>5615.54</v>
      </c>
      <c r="C98" s="14">
        <v>44.49</v>
      </c>
      <c r="N98" s="14">
        <v>300</v>
      </c>
      <c r="O98" s="14">
        <v>240</v>
      </c>
      <c r="Q98" s="14">
        <v>881.01</v>
      </c>
      <c r="AB98" s="14">
        <v>110</v>
      </c>
      <c r="AG98" s="14">
        <v>1458.95</v>
      </c>
      <c r="AH98" s="14">
        <v>1169.55</v>
      </c>
      <c r="AI98" s="7">
        <f t="shared" si="5"/>
        <v>8649.99</v>
      </c>
      <c r="AJ98" s="19">
        <f aca="true" t="shared" si="6" ref="AJ98:AJ123">AI98*9</f>
        <v>77849.91</v>
      </c>
      <c r="AK98" s="1">
        <v>104893</v>
      </c>
      <c r="AL98" s="19">
        <f t="shared" si="4"/>
        <v>27043.089999999997</v>
      </c>
    </row>
    <row r="99" spans="1:38" ht="12.75">
      <c r="A99" s="2">
        <v>466</v>
      </c>
      <c r="B99" s="14">
        <v>18052.35</v>
      </c>
      <c r="C99" s="14">
        <v>342.91</v>
      </c>
      <c r="D99" s="10">
        <v>300.8</v>
      </c>
      <c r="E99" s="10">
        <v>403.68</v>
      </c>
      <c r="F99" s="14">
        <v>193.43</v>
      </c>
      <c r="J99" s="14">
        <v>25.39</v>
      </c>
      <c r="K99" s="14">
        <v>364.19</v>
      </c>
      <c r="N99" s="14">
        <v>1740</v>
      </c>
      <c r="Q99" s="14">
        <v>181.39</v>
      </c>
      <c r="X99" s="14">
        <v>666.09</v>
      </c>
      <c r="Y99" s="14">
        <v>218.4</v>
      </c>
      <c r="AB99" s="14">
        <v>1265</v>
      </c>
      <c r="AF99" s="14">
        <v>789.46</v>
      </c>
      <c r="AG99" s="14">
        <v>2788.17</v>
      </c>
      <c r="AH99" s="14">
        <v>1565.05</v>
      </c>
      <c r="AI99" s="7">
        <f t="shared" si="5"/>
        <v>27331.259999999995</v>
      </c>
      <c r="AJ99" s="19">
        <f t="shared" si="6"/>
        <v>245981.33999999997</v>
      </c>
      <c r="AK99" s="1">
        <v>183003</v>
      </c>
      <c r="AL99" s="19">
        <f t="shared" si="4"/>
        <v>-62978.33999999997</v>
      </c>
    </row>
    <row r="100" spans="1:38" ht="12.75">
      <c r="A100" s="2">
        <v>467</v>
      </c>
      <c r="AJ100" s="19"/>
      <c r="AK100" s="1">
        <v>4632</v>
      </c>
      <c r="AL100" s="19">
        <f t="shared" si="4"/>
        <v>4632</v>
      </c>
    </row>
    <row r="101" spans="1:40" ht="12.75">
      <c r="A101" s="2">
        <v>473</v>
      </c>
      <c r="B101" s="14">
        <v>3831.42</v>
      </c>
      <c r="D101" s="10">
        <v>40.6</v>
      </c>
      <c r="F101" s="14">
        <v>99.83</v>
      </c>
      <c r="N101" s="14">
        <v>480</v>
      </c>
      <c r="Q101" s="14">
        <v>149.63</v>
      </c>
      <c r="AB101" s="14">
        <v>330</v>
      </c>
      <c r="AI101" s="7">
        <f t="shared" si="5"/>
        <v>4931.4800000000005</v>
      </c>
      <c r="AJ101" s="19">
        <f t="shared" si="6"/>
        <v>44383.32000000001</v>
      </c>
      <c r="AK101" s="1">
        <v>33103</v>
      </c>
      <c r="AL101" s="19">
        <f t="shared" si="4"/>
        <v>-11280.320000000007</v>
      </c>
      <c r="AM101" t="s">
        <v>168</v>
      </c>
      <c r="AN101" s="19">
        <f>AL98+AL100+AL103+AL114+AL108+AL110+AL111+AL113+AL116</f>
        <v>70561.03</v>
      </c>
    </row>
    <row r="102" spans="1:40" ht="12.75">
      <c r="A102" s="2">
        <v>474</v>
      </c>
      <c r="B102" s="14">
        <v>5770.84</v>
      </c>
      <c r="C102" s="14">
        <v>89.43</v>
      </c>
      <c r="D102" s="10">
        <v>54.9</v>
      </c>
      <c r="N102" s="14">
        <v>540</v>
      </c>
      <c r="Q102" s="14">
        <v>684.55</v>
      </c>
      <c r="X102" s="14">
        <v>69.64</v>
      </c>
      <c r="Y102" s="14">
        <v>50.17</v>
      </c>
      <c r="AB102" s="14">
        <v>495</v>
      </c>
      <c r="AF102" s="14">
        <v>42</v>
      </c>
      <c r="AI102" s="7">
        <f t="shared" si="5"/>
        <v>7796.530000000001</v>
      </c>
      <c r="AJ102" s="19">
        <f t="shared" si="6"/>
        <v>70168.77</v>
      </c>
      <c r="AK102" s="1">
        <v>54785</v>
      </c>
      <c r="AL102" s="19">
        <f t="shared" si="4"/>
        <v>-15383.770000000004</v>
      </c>
      <c r="AN102" s="19">
        <f>-AL99-AL101-AL102-AL109-AL115</f>
        <v>123799.66999999998</v>
      </c>
    </row>
    <row r="103" spans="1:40" ht="12.75">
      <c r="A103" s="2">
        <v>475</v>
      </c>
      <c r="AJ103" s="19"/>
      <c r="AK103" s="1">
        <v>27</v>
      </c>
      <c r="AL103" s="19">
        <f t="shared" si="4"/>
        <v>27</v>
      </c>
      <c r="AM103" t="s">
        <v>161</v>
      </c>
      <c r="AN103" s="19">
        <f>AN101-AN102</f>
        <v>-53238.639999999985</v>
      </c>
    </row>
    <row r="104" spans="1:40" ht="12.75">
      <c r="A104" s="2">
        <v>480</v>
      </c>
      <c r="AJ104" s="19"/>
      <c r="AL104" s="19">
        <v>5000</v>
      </c>
      <c r="AN104" s="19"/>
    </row>
    <row r="105" spans="1:40" ht="12.75">
      <c r="A105" s="2">
        <v>481</v>
      </c>
      <c r="B105" s="13">
        <v>25082.43</v>
      </c>
      <c r="C105" s="14">
        <v>341.09</v>
      </c>
      <c r="D105" s="10">
        <v>142.1</v>
      </c>
      <c r="F105" s="14">
        <v>39.75</v>
      </c>
      <c r="K105" s="14">
        <v>119.73</v>
      </c>
      <c r="N105" s="14">
        <v>1500</v>
      </c>
      <c r="Q105" s="14">
        <v>408.41</v>
      </c>
      <c r="X105" s="14">
        <v>440.01</v>
      </c>
      <c r="Y105" s="14">
        <v>512.81</v>
      </c>
      <c r="Z105" s="14">
        <v>541.37</v>
      </c>
      <c r="AB105" s="14">
        <v>1265</v>
      </c>
      <c r="AI105" s="7">
        <f t="shared" si="5"/>
        <v>30392.699999999997</v>
      </c>
      <c r="AJ105" s="19">
        <f t="shared" si="6"/>
        <v>273534.3</v>
      </c>
      <c r="AK105" s="1">
        <v>236180</v>
      </c>
      <c r="AL105" s="19">
        <f t="shared" si="4"/>
        <v>-37354.29999999999</v>
      </c>
      <c r="AM105" t="s">
        <v>169</v>
      </c>
      <c r="AN105" s="19">
        <f>AL104+AL106</f>
        <v>11371</v>
      </c>
    </row>
    <row r="106" spans="1:40" ht="12.75">
      <c r="A106" s="2">
        <v>482</v>
      </c>
      <c r="B106" s="13"/>
      <c r="AJ106" s="19"/>
      <c r="AL106" s="19">
        <v>6371</v>
      </c>
      <c r="AN106" s="19">
        <v>37354.3</v>
      </c>
    </row>
    <row r="107" spans="1:40" ht="12.75">
      <c r="A107" s="2">
        <v>486</v>
      </c>
      <c r="B107" s="13"/>
      <c r="AJ107" s="19"/>
      <c r="AL107" s="19">
        <v>56516</v>
      </c>
      <c r="AM107" t="s">
        <v>161</v>
      </c>
      <c r="AN107" s="19">
        <f>AN105-AN106</f>
        <v>-25983.300000000003</v>
      </c>
    </row>
    <row r="108" spans="1:38" ht="12.75">
      <c r="A108" s="2">
        <v>488</v>
      </c>
      <c r="B108" s="13"/>
      <c r="AJ108" s="19"/>
      <c r="AL108" s="19">
        <v>10892</v>
      </c>
    </row>
    <row r="109" spans="1:38" ht="12.75">
      <c r="A109" s="2">
        <v>489</v>
      </c>
      <c r="B109" s="14">
        <v>5627.99</v>
      </c>
      <c r="C109" s="14">
        <v>44.49</v>
      </c>
      <c r="D109" s="10">
        <v>20.3</v>
      </c>
      <c r="N109" s="14">
        <v>540</v>
      </c>
      <c r="Q109" s="14">
        <v>374.07</v>
      </c>
      <c r="X109" s="14">
        <v>133.97</v>
      </c>
      <c r="Y109" s="14">
        <v>112.07</v>
      </c>
      <c r="AB109" s="14">
        <v>275</v>
      </c>
      <c r="AF109" s="14">
        <v>158.75</v>
      </c>
      <c r="AI109" s="7">
        <f t="shared" si="5"/>
        <v>7286.639999999999</v>
      </c>
      <c r="AJ109" s="19">
        <f t="shared" si="6"/>
        <v>65579.76</v>
      </c>
      <c r="AK109" s="1">
        <v>60601</v>
      </c>
      <c r="AL109" s="19">
        <f t="shared" si="4"/>
        <v>-4978.759999999995</v>
      </c>
    </row>
    <row r="110" spans="1:38" ht="12.75">
      <c r="A110" s="2">
        <v>490</v>
      </c>
      <c r="AJ110" s="19"/>
      <c r="AL110" s="19">
        <v>7283</v>
      </c>
    </row>
    <row r="111" spans="1:38" ht="12.75">
      <c r="A111" s="2">
        <v>495</v>
      </c>
      <c r="AJ111" s="19"/>
      <c r="AL111" s="19">
        <v>1000</v>
      </c>
    </row>
    <row r="112" spans="1:38" ht="12.75">
      <c r="A112" s="2">
        <v>496</v>
      </c>
      <c r="B112" s="14">
        <v>3609.92</v>
      </c>
      <c r="D112" s="10">
        <v>60.9</v>
      </c>
      <c r="N112" s="14">
        <v>240</v>
      </c>
      <c r="Y112" s="14">
        <v>20.18</v>
      </c>
      <c r="AB112" s="14">
        <v>165</v>
      </c>
      <c r="AI112" s="7">
        <f t="shared" si="5"/>
        <v>4096</v>
      </c>
      <c r="AJ112" s="19">
        <f t="shared" si="6"/>
        <v>36864</v>
      </c>
      <c r="AK112" s="1">
        <v>32614</v>
      </c>
      <c r="AL112" s="19">
        <f t="shared" si="4"/>
        <v>-4250</v>
      </c>
    </row>
    <row r="113" spans="1:38" ht="12.75">
      <c r="A113" s="2">
        <v>497</v>
      </c>
      <c r="AJ113" s="19"/>
      <c r="AL113" s="19">
        <v>2969</v>
      </c>
    </row>
    <row r="114" spans="1:38" ht="12.75">
      <c r="A114" s="2">
        <v>501</v>
      </c>
      <c r="B114" s="14">
        <v>10299.68</v>
      </c>
      <c r="C114" s="14">
        <v>29.66</v>
      </c>
      <c r="Q114" s="14">
        <v>612</v>
      </c>
      <c r="AB114" s="14">
        <v>55</v>
      </c>
      <c r="AI114" s="7">
        <f t="shared" si="5"/>
        <v>10996.34</v>
      </c>
      <c r="AJ114" s="19">
        <f t="shared" si="6"/>
        <v>98967.06</v>
      </c>
      <c r="AK114" s="1">
        <v>114027</v>
      </c>
      <c r="AL114" s="19">
        <f t="shared" si="4"/>
        <v>15059.940000000002</v>
      </c>
    </row>
    <row r="115" spans="1:38" ht="12.75">
      <c r="A115" s="2">
        <v>502</v>
      </c>
      <c r="B115" s="14">
        <v>7035.56</v>
      </c>
      <c r="C115" s="14">
        <v>60.23</v>
      </c>
      <c r="D115" s="10">
        <v>28.6</v>
      </c>
      <c r="F115" s="14">
        <v>82.14</v>
      </c>
      <c r="K115" s="14">
        <v>3199.18</v>
      </c>
      <c r="N115" s="14">
        <v>60</v>
      </c>
      <c r="Q115" s="14">
        <v>351.75</v>
      </c>
      <c r="X115" s="14">
        <v>168.33</v>
      </c>
      <c r="Y115" s="14">
        <v>114.56</v>
      </c>
      <c r="Z115" s="14">
        <v>541.37</v>
      </c>
      <c r="AB115" s="14">
        <v>330</v>
      </c>
      <c r="AH115" s="14">
        <v>584.78</v>
      </c>
      <c r="AI115" s="7">
        <f t="shared" si="5"/>
        <v>11971.720000000001</v>
      </c>
      <c r="AJ115" s="19">
        <f t="shared" si="6"/>
        <v>107745.48000000001</v>
      </c>
      <c r="AK115" s="1">
        <v>78567</v>
      </c>
      <c r="AL115" s="19">
        <f t="shared" si="4"/>
        <v>-29178.48000000001</v>
      </c>
    </row>
    <row r="116" spans="1:38" ht="12.75">
      <c r="A116" s="2">
        <v>503</v>
      </c>
      <c r="AJ116" s="19"/>
      <c r="AL116" s="19">
        <v>1655</v>
      </c>
    </row>
    <row r="117" spans="1:40" ht="12.75">
      <c r="A117" s="2">
        <v>512</v>
      </c>
      <c r="B117" s="14">
        <v>599.72</v>
      </c>
      <c r="AI117" s="7">
        <f t="shared" si="5"/>
        <v>599.72</v>
      </c>
      <c r="AJ117" s="19">
        <f t="shared" si="6"/>
        <v>5397.4800000000005</v>
      </c>
      <c r="AK117" s="1">
        <v>6118</v>
      </c>
      <c r="AL117" s="19">
        <f t="shared" si="4"/>
        <v>720.5199999999995</v>
      </c>
      <c r="AM117" t="s">
        <v>170</v>
      </c>
      <c r="AN117" s="19">
        <f>AL117+AL118</f>
        <v>5220.5199999999995</v>
      </c>
    </row>
    <row r="118" spans="1:38" ht="12.75">
      <c r="A118" s="2">
        <v>513</v>
      </c>
      <c r="AJ118" s="19"/>
      <c r="AL118" s="19">
        <v>4500</v>
      </c>
    </row>
    <row r="119" spans="1:38" ht="12.75">
      <c r="A119" s="2">
        <v>517</v>
      </c>
      <c r="B119" s="14">
        <v>4123</v>
      </c>
      <c r="C119" s="14">
        <v>0.9</v>
      </c>
      <c r="D119" s="10">
        <v>28.6</v>
      </c>
      <c r="N119" s="14">
        <v>360</v>
      </c>
      <c r="Q119" s="14">
        <v>75.26</v>
      </c>
      <c r="Y119" s="14">
        <v>92.98</v>
      </c>
      <c r="AB119" s="14">
        <v>385</v>
      </c>
      <c r="AE119" s="14">
        <v>720</v>
      </c>
      <c r="AI119" s="7">
        <f t="shared" si="5"/>
        <v>5785.74</v>
      </c>
      <c r="AJ119" s="19">
        <f t="shared" si="6"/>
        <v>52071.659999999996</v>
      </c>
      <c r="AK119" s="1">
        <v>53770</v>
      </c>
      <c r="AL119" s="19">
        <f t="shared" si="4"/>
        <v>1698.3400000000038</v>
      </c>
    </row>
    <row r="120" spans="1:38" ht="12.75">
      <c r="A120" s="2">
        <v>518</v>
      </c>
      <c r="AJ120" s="19"/>
      <c r="AL120" s="19">
        <v>11634</v>
      </c>
    </row>
    <row r="121" spans="1:38" ht="12.75">
      <c r="A121" s="2">
        <v>521</v>
      </c>
      <c r="B121" s="14">
        <v>5656.52</v>
      </c>
      <c r="C121" s="14">
        <v>133.47</v>
      </c>
      <c r="D121" s="10">
        <v>81.2</v>
      </c>
      <c r="L121" s="14">
        <v>125.05</v>
      </c>
      <c r="N121" s="14">
        <v>300</v>
      </c>
      <c r="Q121" s="14">
        <v>652.83</v>
      </c>
      <c r="X121" s="14">
        <v>44.02</v>
      </c>
      <c r="Y121" s="14">
        <v>75.04</v>
      </c>
      <c r="AB121" s="14">
        <v>385</v>
      </c>
      <c r="AI121" s="7">
        <f t="shared" si="5"/>
        <v>7453.130000000001</v>
      </c>
      <c r="AJ121" s="19">
        <f t="shared" si="6"/>
        <v>67078.17000000001</v>
      </c>
      <c r="AK121" s="1">
        <v>73192</v>
      </c>
      <c r="AL121" s="19">
        <f t="shared" si="4"/>
        <v>6113.829999999987</v>
      </c>
    </row>
    <row r="122" spans="1:38" ht="12.75">
      <c r="A122" s="2">
        <v>522</v>
      </c>
      <c r="AJ122" s="19"/>
      <c r="AL122" s="19">
        <v>1602</v>
      </c>
    </row>
    <row r="123" spans="1:40" ht="12.75">
      <c r="A123" s="2">
        <v>531</v>
      </c>
      <c r="B123" s="14">
        <v>24628.03</v>
      </c>
      <c r="C123" s="14">
        <v>44.49</v>
      </c>
      <c r="D123" s="10">
        <v>203</v>
      </c>
      <c r="E123" s="10">
        <v>388.01</v>
      </c>
      <c r="N123" s="14">
        <v>1860</v>
      </c>
      <c r="AB123" s="14">
        <v>1705</v>
      </c>
      <c r="AI123" s="7">
        <f t="shared" si="5"/>
        <v>28828.53</v>
      </c>
      <c r="AJ123" s="19">
        <f t="shared" si="6"/>
        <v>259456.77</v>
      </c>
      <c r="AK123" s="1">
        <v>121069</v>
      </c>
      <c r="AL123" s="19">
        <f t="shared" si="4"/>
        <v>-138387.77</v>
      </c>
      <c r="AM123" t="s">
        <v>171</v>
      </c>
      <c r="AN123" s="19">
        <f>AL123</f>
        <v>-138387.77</v>
      </c>
    </row>
    <row r="124" spans="1:40" ht="12.75">
      <c r="A124" s="2">
        <v>535</v>
      </c>
      <c r="AI124" s="7">
        <v>0</v>
      </c>
      <c r="AJ124" s="19">
        <v>0</v>
      </c>
      <c r="AK124" s="1">
        <v>39000</v>
      </c>
      <c r="AL124" s="19">
        <f t="shared" si="4"/>
        <v>39000</v>
      </c>
      <c r="AM124" t="s">
        <v>163</v>
      </c>
      <c r="AN124" s="19">
        <f>SUM(AL124:AL131)</f>
        <v>236000</v>
      </c>
    </row>
    <row r="125" spans="1:38" ht="12.75">
      <c r="A125" s="2">
        <v>536</v>
      </c>
      <c r="AI125" s="7">
        <v>0</v>
      </c>
      <c r="AJ125" s="19">
        <v>0</v>
      </c>
      <c r="AK125" s="1">
        <v>1000</v>
      </c>
      <c r="AL125" s="19">
        <f t="shared" si="4"/>
        <v>1000</v>
      </c>
    </row>
    <row r="126" spans="1:38" ht="12.75">
      <c r="A126" s="2">
        <v>539</v>
      </c>
      <c r="AJ126" s="19"/>
      <c r="AK126" s="1">
        <v>65000</v>
      </c>
      <c r="AL126" s="19">
        <f t="shared" si="4"/>
        <v>65000</v>
      </c>
    </row>
    <row r="127" spans="1:38" ht="12.75">
      <c r="A127" s="2">
        <v>540</v>
      </c>
      <c r="AJ127" s="19"/>
      <c r="AK127" s="1">
        <v>1000</v>
      </c>
      <c r="AL127" s="19">
        <f t="shared" si="4"/>
        <v>1000</v>
      </c>
    </row>
    <row r="128" spans="1:38" ht="12.75">
      <c r="A128" s="2">
        <v>543</v>
      </c>
      <c r="AJ128" s="19"/>
      <c r="AK128" s="1">
        <v>60000</v>
      </c>
      <c r="AL128" s="19">
        <f t="shared" si="4"/>
        <v>60000</v>
      </c>
    </row>
    <row r="129" spans="1:38" ht="12.75">
      <c r="A129" s="2">
        <v>544</v>
      </c>
      <c r="AJ129" s="19"/>
      <c r="AK129" s="1">
        <v>5000</v>
      </c>
      <c r="AL129" s="19">
        <f t="shared" si="4"/>
        <v>5000</v>
      </c>
    </row>
    <row r="130" spans="1:38" ht="12.75">
      <c r="A130" s="2">
        <v>550</v>
      </c>
      <c r="AJ130" s="19"/>
      <c r="AK130" s="1">
        <v>60000</v>
      </c>
      <c r="AL130" s="19">
        <f t="shared" si="4"/>
        <v>60000</v>
      </c>
    </row>
    <row r="131" spans="1:38" ht="12.75">
      <c r="A131" s="2">
        <v>551</v>
      </c>
      <c r="AJ131" s="19"/>
      <c r="AK131" s="1">
        <v>5000</v>
      </c>
      <c r="AL131" s="19">
        <f t="shared" si="4"/>
        <v>5000</v>
      </c>
    </row>
    <row r="132" spans="36:38" ht="12.75">
      <c r="AJ132" s="19"/>
      <c r="AL132" s="19">
        <f t="shared" si="4"/>
        <v>0</v>
      </c>
    </row>
    <row r="133" spans="36:38" ht="12.75">
      <c r="AJ133" s="19"/>
      <c r="AL133" s="19">
        <f t="shared" si="4"/>
        <v>0</v>
      </c>
    </row>
    <row r="134" spans="36:38" ht="12.75">
      <c r="AJ134" s="19"/>
      <c r="AL134" s="19">
        <f t="shared" si="4"/>
        <v>0</v>
      </c>
    </row>
    <row r="135" spans="36:38" ht="12.75">
      <c r="AJ135" s="19"/>
      <c r="AL135" s="19">
        <f t="shared" si="4"/>
        <v>0</v>
      </c>
    </row>
    <row r="136" spans="1:38" s="8" customFormat="1" ht="12.75">
      <c r="A136" s="6" t="s">
        <v>148</v>
      </c>
      <c r="B136" s="7">
        <f aca="true" t="shared" si="7" ref="B136:AH136">SUM(B3:B74)</f>
        <v>497098.19000000006</v>
      </c>
      <c r="C136" s="7">
        <f t="shared" si="7"/>
        <v>9862.09</v>
      </c>
      <c r="D136" s="12">
        <f t="shared" si="7"/>
        <v>11719.89</v>
      </c>
      <c r="E136" s="12">
        <f t="shared" si="7"/>
        <v>2097.9300000000003</v>
      </c>
      <c r="F136" s="7">
        <f t="shared" si="7"/>
        <v>4381.03</v>
      </c>
      <c r="G136" s="7">
        <f t="shared" si="7"/>
        <v>3778.98</v>
      </c>
      <c r="H136" s="7">
        <f t="shared" si="7"/>
        <v>5948.59</v>
      </c>
      <c r="I136" s="7">
        <f t="shared" si="7"/>
        <v>34000</v>
      </c>
      <c r="J136" s="7">
        <f t="shared" si="7"/>
        <v>3252.4</v>
      </c>
      <c r="K136" s="7">
        <f t="shared" si="7"/>
        <v>17591</v>
      </c>
      <c r="L136" s="7">
        <f t="shared" si="7"/>
        <v>6096.0599999999995</v>
      </c>
      <c r="M136" s="7">
        <f t="shared" si="7"/>
        <v>5278.64</v>
      </c>
      <c r="N136" s="7">
        <f t="shared" si="7"/>
        <v>45480</v>
      </c>
      <c r="O136" s="7">
        <f t="shared" si="7"/>
        <v>4560</v>
      </c>
      <c r="P136" s="7">
        <f t="shared" si="7"/>
        <v>851.74</v>
      </c>
      <c r="Q136" s="7">
        <f t="shared" si="7"/>
        <v>20872.11</v>
      </c>
      <c r="R136" s="7">
        <f t="shared" si="7"/>
        <v>195.82</v>
      </c>
      <c r="S136" s="7">
        <f t="shared" si="7"/>
        <v>633.5600000000001</v>
      </c>
      <c r="T136" s="7">
        <f t="shared" si="7"/>
        <v>2823.84</v>
      </c>
      <c r="U136" s="7">
        <f t="shared" si="7"/>
        <v>1348.98</v>
      </c>
      <c r="V136" s="7">
        <f t="shared" si="7"/>
        <v>80903.30000000002</v>
      </c>
      <c r="W136" s="7">
        <f t="shared" si="7"/>
        <v>4163.41</v>
      </c>
      <c r="X136" s="7">
        <f t="shared" si="7"/>
        <v>11017.479999999998</v>
      </c>
      <c r="Y136" s="7">
        <f t="shared" si="7"/>
        <v>5925.16</v>
      </c>
      <c r="Z136" s="7">
        <f t="shared" si="7"/>
        <v>20679.420000000002</v>
      </c>
      <c r="AA136" s="7">
        <f t="shared" si="7"/>
        <v>649.95</v>
      </c>
      <c r="AB136" s="7">
        <f t="shared" si="7"/>
        <v>22055</v>
      </c>
      <c r="AC136" s="7">
        <f t="shared" si="7"/>
        <v>4785.42</v>
      </c>
      <c r="AD136" s="7">
        <f t="shared" si="7"/>
        <v>18482.500000000004</v>
      </c>
      <c r="AE136" s="7">
        <f t="shared" si="7"/>
        <v>1320</v>
      </c>
      <c r="AF136" s="7">
        <f t="shared" si="7"/>
        <v>46669.310000000005</v>
      </c>
      <c r="AG136" s="7">
        <f t="shared" si="7"/>
        <v>0</v>
      </c>
      <c r="AH136" s="7">
        <f t="shared" si="7"/>
        <v>0</v>
      </c>
      <c r="AI136" s="7">
        <f>SUM(B136:AG136)</f>
        <v>894521.8000000003</v>
      </c>
      <c r="AJ136" s="7">
        <f>SUM(AJ3:AJ74)</f>
        <v>8050696.199999999</v>
      </c>
      <c r="AK136" s="7">
        <f>SUM(AK3:AK74)</f>
        <v>9008751</v>
      </c>
      <c r="AL136" s="7">
        <f>SUM(AL3:AL74)</f>
        <v>958054.7999999997</v>
      </c>
    </row>
    <row r="137" spans="1:37" s="8" customFormat="1" ht="12.75">
      <c r="A137" s="6"/>
      <c r="B137" s="7"/>
      <c r="C137" s="7"/>
      <c r="D137" s="12"/>
      <c r="E137" s="12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8" s="8" customFormat="1" ht="12.75">
      <c r="A138" s="6" t="s">
        <v>149</v>
      </c>
      <c r="B138" s="7">
        <f>SUM(B76:B123)</f>
        <v>254045.24</v>
      </c>
      <c r="C138" s="7">
        <f aca="true" t="shared" si="8" ref="C138:AH138">SUM(C76:C123)</f>
        <v>2440.9799999999996</v>
      </c>
      <c r="D138" s="7">
        <f t="shared" si="8"/>
        <v>2804.05</v>
      </c>
      <c r="E138" s="7">
        <f t="shared" si="8"/>
        <v>5151.39</v>
      </c>
      <c r="F138" s="7">
        <f t="shared" si="8"/>
        <v>888.04</v>
      </c>
      <c r="G138" s="7">
        <f t="shared" si="8"/>
        <v>0</v>
      </c>
      <c r="H138" s="7">
        <f t="shared" si="8"/>
        <v>0</v>
      </c>
      <c r="I138" s="7">
        <f t="shared" si="8"/>
        <v>0</v>
      </c>
      <c r="J138" s="7">
        <f t="shared" si="8"/>
        <v>257.91999999999996</v>
      </c>
      <c r="K138" s="7">
        <f t="shared" si="8"/>
        <v>14192.21</v>
      </c>
      <c r="L138" s="7">
        <f t="shared" si="8"/>
        <v>5080.16</v>
      </c>
      <c r="M138" s="7">
        <f t="shared" si="8"/>
        <v>0</v>
      </c>
      <c r="N138" s="7">
        <f t="shared" si="8"/>
        <v>10800</v>
      </c>
      <c r="O138" s="7">
        <f t="shared" si="8"/>
        <v>240</v>
      </c>
      <c r="P138" s="7">
        <f t="shared" si="8"/>
        <v>0</v>
      </c>
      <c r="Q138" s="7">
        <f t="shared" si="8"/>
        <v>8107.47</v>
      </c>
      <c r="R138" s="7">
        <f t="shared" si="8"/>
        <v>0</v>
      </c>
      <c r="S138" s="7">
        <f t="shared" si="8"/>
        <v>0</v>
      </c>
      <c r="T138" s="7">
        <f t="shared" si="8"/>
        <v>0</v>
      </c>
      <c r="U138" s="7">
        <f t="shared" si="8"/>
        <v>0</v>
      </c>
      <c r="V138" s="7">
        <f t="shared" si="8"/>
        <v>0</v>
      </c>
      <c r="W138" s="7">
        <f t="shared" si="8"/>
        <v>0</v>
      </c>
      <c r="X138" s="7">
        <f t="shared" si="8"/>
        <v>2422.68</v>
      </c>
      <c r="Y138" s="7">
        <f t="shared" si="8"/>
        <v>1664.29</v>
      </c>
      <c r="Z138" s="7">
        <f t="shared" si="8"/>
        <v>4105.37</v>
      </c>
      <c r="AA138" s="7">
        <f t="shared" si="8"/>
        <v>0</v>
      </c>
      <c r="AB138" s="7">
        <f t="shared" si="8"/>
        <v>14740</v>
      </c>
      <c r="AC138" s="7">
        <v>0</v>
      </c>
      <c r="AD138" s="7">
        <f t="shared" si="8"/>
        <v>0</v>
      </c>
      <c r="AE138" s="7">
        <f t="shared" si="8"/>
        <v>720</v>
      </c>
      <c r="AF138" s="7">
        <f>SUM(AF76:AF123)</f>
        <v>1661.71</v>
      </c>
      <c r="AG138" s="7">
        <f t="shared" si="8"/>
        <v>4247.12</v>
      </c>
      <c r="AH138" s="7">
        <f t="shared" si="8"/>
        <v>5870.57</v>
      </c>
      <c r="AI138" s="7">
        <f>SUM(B138:AG138)</f>
        <v>333568.6299999999</v>
      </c>
      <c r="AJ138" s="7">
        <f>SUM(AJ76:AJ123)</f>
        <v>3002117.67</v>
      </c>
      <c r="AK138" s="7">
        <f>SUM(AK76:AK123)</f>
        <v>2606912</v>
      </c>
      <c r="AL138" s="7">
        <f>SUM(AL76:AL123)</f>
        <v>-285783.6699999999</v>
      </c>
    </row>
    <row r="139" spans="1:37" s="8" customFormat="1" ht="12.75">
      <c r="A139" s="6"/>
      <c r="B139" s="7"/>
      <c r="C139" s="7"/>
      <c r="D139" s="12"/>
      <c r="E139" s="1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K139" s="7"/>
    </row>
    <row r="140" spans="1:38" s="8" customFormat="1" ht="12.75">
      <c r="A140" s="6" t="s">
        <v>128</v>
      </c>
      <c r="B140" s="7">
        <f aca="true" t="shared" si="9" ref="B140:AC140">B136+B138</f>
        <v>751143.43</v>
      </c>
      <c r="C140" s="7">
        <f t="shared" si="9"/>
        <v>12303.07</v>
      </c>
      <c r="D140" s="7">
        <f t="shared" si="9"/>
        <v>14523.939999999999</v>
      </c>
      <c r="E140" s="7">
        <f t="shared" si="9"/>
        <v>7249.320000000001</v>
      </c>
      <c r="F140" s="7">
        <f t="shared" si="9"/>
        <v>5269.07</v>
      </c>
      <c r="G140" s="7">
        <f t="shared" si="9"/>
        <v>3778.98</v>
      </c>
      <c r="H140" s="7">
        <f t="shared" si="9"/>
        <v>5948.59</v>
      </c>
      <c r="I140" s="7">
        <f t="shared" si="9"/>
        <v>34000</v>
      </c>
      <c r="J140" s="7">
        <f t="shared" si="9"/>
        <v>3510.32</v>
      </c>
      <c r="K140" s="7">
        <f t="shared" si="9"/>
        <v>31783.21</v>
      </c>
      <c r="L140" s="7">
        <f t="shared" si="9"/>
        <v>11176.22</v>
      </c>
      <c r="M140" s="7">
        <f t="shared" si="9"/>
        <v>5278.64</v>
      </c>
      <c r="N140" s="7">
        <f t="shared" si="9"/>
        <v>56280</v>
      </c>
      <c r="O140" s="7">
        <f t="shared" si="9"/>
        <v>4800</v>
      </c>
      <c r="P140" s="7">
        <f t="shared" si="9"/>
        <v>851.74</v>
      </c>
      <c r="Q140" s="7">
        <f t="shared" si="9"/>
        <v>28979.58</v>
      </c>
      <c r="R140" s="7">
        <f t="shared" si="9"/>
        <v>195.82</v>
      </c>
      <c r="S140" s="7">
        <f t="shared" si="9"/>
        <v>633.5600000000001</v>
      </c>
      <c r="T140" s="7">
        <f t="shared" si="9"/>
        <v>2823.84</v>
      </c>
      <c r="U140" s="7">
        <f t="shared" si="9"/>
        <v>1348.98</v>
      </c>
      <c r="V140" s="7">
        <f t="shared" si="9"/>
        <v>80903.30000000002</v>
      </c>
      <c r="W140" s="7">
        <f t="shared" si="9"/>
        <v>4163.41</v>
      </c>
      <c r="X140" s="7">
        <f t="shared" si="9"/>
        <v>13440.159999999998</v>
      </c>
      <c r="Y140" s="7">
        <f t="shared" si="9"/>
        <v>7589.45</v>
      </c>
      <c r="Z140" s="7">
        <f t="shared" si="9"/>
        <v>24784.79</v>
      </c>
      <c r="AA140" s="7">
        <f t="shared" si="9"/>
        <v>649.95</v>
      </c>
      <c r="AB140" s="7">
        <f t="shared" si="9"/>
        <v>36795</v>
      </c>
      <c r="AC140" s="7">
        <f t="shared" si="9"/>
        <v>4785.42</v>
      </c>
      <c r="AD140" s="7">
        <f aca="true" t="shared" si="10" ref="AD140:AJ140">AD136+AD138</f>
        <v>18482.500000000004</v>
      </c>
      <c r="AE140" s="7">
        <f t="shared" si="10"/>
        <v>2040</v>
      </c>
      <c r="AF140" s="7">
        <f t="shared" si="10"/>
        <v>48331.020000000004</v>
      </c>
      <c r="AG140" s="7">
        <f t="shared" si="10"/>
        <v>4247.12</v>
      </c>
      <c r="AH140" s="7">
        <f t="shared" si="10"/>
        <v>5870.57</v>
      </c>
      <c r="AI140" s="7">
        <f t="shared" si="10"/>
        <v>1228090.4300000002</v>
      </c>
      <c r="AJ140" s="7">
        <f t="shared" si="10"/>
        <v>11052813.87</v>
      </c>
      <c r="AK140" s="7">
        <f>AK136+AK138</f>
        <v>11615663</v>
      </c>
      <c r="AL140" s="7">
        <f>AL136+AL138</f>
        <v>672271.1299999998</v>
      </c>
    </row>
    <row r="141" spans="1:37" s="8" customFormat="1" ht="12.75">
      <c r="A141" s="6"/>
      <c r="B141" s="7"/>
      <c r="C141" s="7"/>
      <c r="D141" s="12"/>
      <c r="E141" s="1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K141" s="7"/>
    </row>
    <row r="142" spans="29:36" ht="12" customHeight="1">
      <c r="AC142" s="7"/>
      <c r="AJ142" s="19"/>
    </row>
    <row r="143" spans="1:38" ht="12.75">
      <c r="A143" s="2" t="s">
        <v>152</v>
      </c>
      <c r="B143" s="14">
        <v>497350.5799999989</v>
      </c>
      <c r="C143" s="14">
        <v>11166.79</v>
      </c>
      <c r="D143" s="10">
        <v>13944.303999999971</v>
      </c>
      <c r="E143" s="10">
        <v>2080.49</v>
      </c>
      <c r="F143" s="18">
        <v>4356.123602222216</v>
      </c>
      <c r="G143">
        <v>0</v>
      </c>
      <c r="H143" s="14">
        <v>5948.59</v>
      </c>
      <c r="I143" s="14">
        <v>34000</v>
      </c>
      <c r="J143" s="14">
        <v>3269.9951199999996</v>
      </c>
      <c r="K143" s="14">
        <v>17590.9914</v>
      </c>
      <c r="L143" s="14">
        <v>9096.06</v>
      </c>
      <c r="M143" s="14">
        <v>5305.38</v>
      </c>
      <c r="N143" s="14">
        <v>45480</v>
      </c>
      <c r="O143" s="14">
        <v>4560</v>
      </c>
      <c r="P143" s="14">
        <v>851.74</v>
      </c>
      <c r="Q143" s="14">
        <v>20872.122527034302</v>
      </c>
      <c r="R143" s="1">
        <v>93.65639999999999</v>
      </c>
      <c r="S143">
        <v>633.56</v>
      </c>
      <c r="T143" s="14">
        <v>2823.84</v>
      </c>
      <c r="U143" s="2">
        <v>0</v>
      </c>
      <c r="V143" s="15">
        <v>80903.29999999992</v>
      </c>
      <c r="W143" s="14">
        <v>4192.75</v>
      </c>
      <c r="X143" s="14">
        <v>11019.64</v>
      </c>
      <c r="Y143" s="14">
        <v>5927.54</v>
      </c>
      <c r="Z143" s="14">
        <v>19883.23</v>
      </c>
      <c r="AA143" s="14">
        <v>7095</v>
      </c>
      <c r="AB143" s="14">
        <v>22055</v>
      </c>
      <c r="AC143" s="14">
        <v>4795.32</v>
      </c>
      <c r="AD143" s="14">
        <v>16143.94</v>
      </c>
      <c r="AE143" s="14">
        <v>1320</v>
      </c>
      <c r="AF143" s="14">
        <v>47849.08</v>
      </c>
      <c r="AG143" s="14">
        <v>47849.08</v>
      </c>
      <c r="AI143" s="7">
        <f>SUM(B143:AG143)</f>
        <v>948458.1030492551</v>
      </c>
      <c r="AJ143" s="7">
        <f>AI143*9</f>
        <v>8536122.927443296</v>
      </c>
      <c r="AK143" s="1">
        <f>AK136</f>
        <v>9008751</v>
      </c>
      <c r="AL143" s="19">
        <f>AK143-AJ143</f>
        <v>472628.0725567043</v>
      </c>
    </row>
    <row r="145" spans="1:38" ht="12.75">
      <c r="A145" s="2" t="s">
        <v>153</v>
      </c>
      <c r="B145" s="14">
        <v>256647.77</v>
      </c>
      <c r="C145" s="14">
        <v>2440.98</v>
      </c>
      <c r="D145" s="10">
        <v>2804.6</v>
      </c>
      <c r="E145" s="10">
        <v>5151.39</v>
      </c>
      <c r="F145" s="14">
        <v>888.03</v>
      </c>
      <c r="G145">
        <v>0</v>
      </c>
      <c r="H145" s="14">
        <v>0</v>
      </c>
      <c r="I145" s="14">
        <v>0</v>
      </c>
      <c r="J145" s="14">
        <v>249.55</v>
      </c>
      <c r="K145" s="14">
        <v>14026.1</v>
      </c>
      <c r="L145" s="14">
        <v>5080.16</v>
      </c>
      <c r="M145" s="14">
        <v>0</v>
      </c>
      <c r="N145" s="14">
        <v>10800</v>
      </c>
      <c r="O145" s="14">
        <v>240</v>
      </c>
      <c r="P145" s="14">
        <v>0</v>
      </c>
      <c r="Q145" s="14">
        <v>7817.46</v>
      </c>
      <c r="R145">
        <v>0</v>
      </c>
      <c r="S145">
        <v>0</v>
      </c>
      <c r="T145" s="14">
        <v>0</v>
      </c>
      <c r="U145" s="2">
        <v>0</v>
      </c>
      <c r="V145" s="15">
        <v>0</v>
      </c>
      <c r="X145" s="14">
        <v>2461.54</v>
      </c>
      <c r="Y145" s="14">
        <v>1686.55</v>
      </c>
      <c r="Z145" s="14">
        <v>4105.36</v>
      </c>
      <c r="AA145" s="14">
        <v>0</v>
      </c>
      <c r="AB145" s="14">
        <v>14740</v>
      </c>
      <c r="AC145" s="14">
        <v>0</v>
      </c>
      <c r="AD145" s="14">
        <v>0</v>
      </c>
      <c r="AE145" s="14">
        <v>720</v>
      </c>
      <c r="AF145" s="14">
        <v>1704.07</v>
      </c>
      <c r="AG145" s="14">
        <v>4247.12</v>
      </c>
      <c r="AH145" s="14">
        <v>5870.57</v>
      </c>
      <c r="AI145" s="7">
        <f>SUM(B145:AG145)</f>
        <v>335810.67999999993</v>
      </c>
      <c r="AJ145" s="7">
        <f>AI145*9</f>
        <v>3022296.119999999</v>
      </c>
      <c r="AK145" s="1">
        <f>AK138</f>
        <v>2606912</v>
      </c>
      <c r="AL145" s="19">
        <f>AK145-AJ145</f>
        <v>-415384.1199999992</v>
      </c>
    </row>
    <row r="146" spans="21:22" ht="12.75">
      <c r="U146" s="2" t="s">
        <v>147</v>
      </c>
      <c r="V146" s="15">
        <v>1141.992</v>
      </c>
    </row>
    <row r="147" spans="1:42" ht="12.75">
      <c r="A147" s="2" t="s">
        <v>154</v>
      </c>
      <c r="B147" s="14">
        <f aca="true" t="shared" si="11" ref="B147:AC147">B143+B145</f>
        <v>753998.3499999989</v>
      </c>
      <c r="C147" s="14">
        <f t="shared" si="11"/>
        <v>13607.77</v>
      </c>
      <c r="D147" s="14">
        <f t="shared" si="11"/>
        <v>16748.90399999997</v>
      </c>
      <c r="E147" s="14">
        <f t="shared" si="11"/>
        <v>7231.88</v>
      </c>
      <c r="F147" s="14">
        <f t="shared" si="11"/>
        <v>5244.153602222215</v>
      </c>
      <c r="G147" s="14">
        <f t="shared" si="11"/>
        <v>0</v>
      </c>
      <c r="H147" s="14">
        <f t="shared" si="11"/>
        <v>5948.59</v>
      </c>
      <c r="I147" s="14">
        <f t="shared" si="11"/>
        <v>34000</v>
      </c>
      <c r="J147" s="14">
        <f t="shared" si="11"/>
        <v>3519.5451199999998</v>
      </c>
      <c r="K147" s="14">
        <f t="shared" si="11"/>
        <v>31617.091399999998</v>
      </c>
      <c r="L147" s="14">
        <f t="shared" si="11"/>
        <v>14176.22</v>
      </c>
      <c r="M147" s="14">
        <f t="shared" si="11"/>
        <v>5305.38</v>
      </c>
      <c r="N147" s="14">
        <f t="shared" si="11"/>
        <v>56280</v>
      </c>
      <c r="O147" s="14">
        <f t="shared" si="11"/>
        <v>4800</v>
      </c>
      <c r="P147" s="14">
        <f t="shared" si="11"/>
        <v>851.74</v>
      </c>
      <c r="Q147" s="14">
        <f t="shared" si="11"/>
        <v>28689.5825270343</v>
      </c>
      <c r="R147" s="14">
        <f t="shared" si="11"/>
        <v>93.65639999999999</v>
      </c>
      <c r="S147" s="14">
        <f t="shared" si="11"/>
        <v>633.56</v>
      </c>
      <c r="T147" s="14">
        <f t="shared" si="11"/>
        <v>2823.84</v>
      </c>
      <c r="U147" s="14">
        <f t="shared" si="11"/>
        <v>0</v>
      </c>
      <c r="V147" s="14">
        <f t="shared" si="11"/>
        <v>80903.29999999992</v>
      </c>
      <c r="W147" s="14">
        <f t="shared" si="11"/>
        <v>4192.75</v>
      </c>
      <c r="X147" s="14">
        <f t="shared" si="11"/>
        <v>13481.18</v>
      </c>
      <c r="Y147" s="14">
        <f t="shared" si="11"/>
        <v>7614.09</v>
      </c>
      <c r="Z147" s="14">
        <f t="shared" si="11"/>
        <v>23988.59</v>
      </c>
      <c r="AA147" s="14">
        <f t="shared" si="11"/>
        <v>7095</v>
      </c>
      <c r="AB147" s="14">
        <f t="shared" si="11"/>
        <v>36795</v>
      </c>
      <c r="AC147" s="14">
        <f t="shared" si="11"/>
        <v>4795.32</v>
      </c>
      <c r="AD147" s="14">
        <f aca="true" t="shared" si="12" ref="AD147:AK147">AD143+AD145</f>
        <v>16143.94</v>
      </c>
      <c r="AE147" s="14">
        <f t="shared" si="12"/>
        <v>2040</v>
      </c>
      <c r="AF147" s="14">
        <f t="shared" si="12"/>
        <v>49553.15</v>
      </c>
      <c r="AG147" s="14">
        <f t="shared" si="12"/>
        <v>52096.200000000004</v>
      </c>
      <c r="AH147" s="14">
        <f t="shared" si="12"/>
        <v>5870.57</v>
      </c>
      <c r="AI147" s="14">
        <f t="shared" si="12"/>
        <v>1284268.7830492551</v>
      </c>
      <c r="AJ147" s="14">
        <f t="shared" si="12"/>
        <v>11558419.047443295</v>
      </c>
      <c r="AK147" s="14">
        <f t="shared" si="12"/>
        <v>11615663</v>
      </c>
      <c r="AL147" s="14">
        <f>AK147-AJ147</f>
        <v>57243.9525567051</v>
      </c>
      <c r="AM147" s="14"/>
      <c r="AN147" s="14"/>
      <c r="AO147" s="14"/>
      <c r="AP147" s="14"/>
    </row>
    <row r="149" spans="35:36" ht="12.75">
      <c r="AI149" s="7" t="s">
        <v>180</v>
      </c>
      <c r="AJ149" s="19">
        <f>AJ147+E160</f>
        <v>13976623.047443295</v>
      </c>
    </row>
    <row r="150" spans="1:36" ht="12.75">
      <c r="A150" s="2" t="s">
        <v>112</v>
      </c>
      <c r="B150" s="13" t="s">
        <v>177</v>
      </c>
      <c r="C150" s="13" t="s">
        <v>178</v>
      </c>
      <c r="E150" s="10" t="s">
        <v>179</v>
      </c>
      <c r="AJ150" s="19">
        <f>AK147+C160</f>
        <v>13886375</v>
      </c>
    </row>
    <row r="151" spans="1:36" ht="12.75">
      <c r="A151" s="2">
        <v>55</v>
      </c>
      <c r="B151" s="13" t="s">
        <v>172</v>
      </c>
      <c r="C151" s="14">
        <v>702349</v>
      </c>
      <c r="D151" s="10">
        <f>C151</f>
        <v>702349</v>
      </c>
      <c r="E151" s="10">
        <f>E160-E152-E153-E154-E156-E158-E159</f>
        <v>868182</v>
      </c>
      <c r="AJ151" s="19">
        <f>AJ150-AJ149</f>
        <v>-90248.0474432949</v>
      </c>
    </row>
    <row r="152" spans="1:5" ht="12.75">
      <c r="A152" s="2">
        <v>208</v>
      </c>
      <c r="B152" s="13" t="s">
        <v>173</v>
      </c>
      <c r="C152" s="14">
        <v>239546</v>
      </c>
      <c r="D152" s="10">
        <f>C152</f>
        <v>239546</v>
      </c>
      <c r="E152" s="10">
        <v>287466</v>
      </c>
    </row>
    <row r="153" spans="1:5" ht="12.75">
      <c r="A153" s="2">
        <v>227</v>
      </c>
      <c r="B153" s="13" t="s">
        <v>174</v>
      </c>
      <c r="C153" s="14">
        <v>61000</v>
      </c>
      <c r="D153" s="10">
        <f>C153</f>
        <v>61000</v>
      </c>
      <c r="E153" s="10">
        <v>0</v>
      </c>
    </row>
    <row r="154" spans="1:5" ht="12.75">
      <c r="A154" s="2">
        <v>248</v>
      </c>
      <c r="B154" s="13" t="s">
        <v>175</v>
      </c>
      <c r="C154" s="14">
        <v>673268</v>
      </c>
      <c r="D154" s="10">
        <f>C154+C155</f>
        <v>689903</v>
      </c>
      <c r="E154" s="10">
        <v>627875</v>
      </c>
    </row>
    <row r="155" spans="1:3" ht="12.75">
      <c r="A155" s="2">
        <v>252</v>
      </c>
      <c r="B155" s="13" t="s">
        <v>176</v>
      </c>
      <c r="C155" s="14">
        <v>16635</v>
      </c>
    </row>
    <row r="156" spans="1:5" ht="12.75">
      <c r="A156" s="2">
        <v>193</v>
      </c>
      <c r="B156" s="13" t="s">
        <v>165</v>
      </c>
      <c r="C156" s="14">
        <v>6740</v>
      </c>
      <c r="D156" s="10">
        <f>C156+C157</f>
        <v>391219</v>
      </c>
      <c r="E156" s="10">
        <v>437824</v>
      </c>
    </row>
    <row r="157" spans="1:3" ht="12.75">
      <c r="A157" s="2">
        <v>437</v>
      </c>
      <c r="B157" s="13" t="s">
        <v>165</v>
      </c>
      <c r="C157" s="14">
        <v>384479</v>
      </c>
    </row>
    <row r="158" spans="1:5" ht="12.75">
      <c r="A158" s="2">
        <v>447</v>
      </c>
      <c r="B158" s="13" t="s">
        <v>166</v>
      </c>
      <c r="C158" s="14">
        <v>46179</v>
      </c>
      <c r="D158" s="10">
        <f>C158</f>
        <v>46179</v>
      </c>
      <c r="E158" s="10">
        <v>61082</v>
      </c>
    </row>
    <row r="159" spans="1:5" ht="12.75">
      <c r="A159" s="2">
        <v>448</v>
      </c>
      <c r="B159" s="13" t="s">
        <v>167</v>
      </c>
      <c r="C159" s="14">
        <v>140516</v>
      </c>
      <c r="D159" s="10">
        <f>C159</f>
        <v>140516</v>
      </c>
      <c r="E159" s="10">
        <v>135775</v>
      </c>
    </row>
    <row r="160" spans="1:5" ht="12.75">
      <c r="A160" s="2" t="s">
        <v>128</v>
      </c>
      <c r="C160" s="14">
        <f>SUM(C151:C159)</f>
        <v>2270712</v>
      </c>
      <c r="D160" s="10">
        <f>SUM(D151:D159)</f>
        <v>2270712</v>
      </c>
      <c r="E160" s="10">
        <v>2418204</v>
      </c>
    </row>
  </sheetData>
  <printOptions/>
  <pageMargins left="0.75" right="0.75" top="1" bottom="1" header="0.492125985" footer="0.492125985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60" workbookViewId="0" topLeftCell="A1">
      <selection activeCell="D16" sqref="D16:H16"/>
    </sheetView>
  </sheetViews>
  <sheetFormatPr defaultColWidth="9.140625" defaultRowHeight="12.75"/>
  <cols>
    <col min="1" max="1" width="13.140625" style="0" customWidth="1"/>
    <col min="2" max="2" width="19.421875" style="0" customWidth="1"/>
    <col min="3" max="3" width="16.140625" style="0" customWidth="1"/>
    <col min="4" max="4" width="16.28125" style="0" customWidth="1"/>
    <col min="5" max="5" width="19.140625" style="0" customWidth="1"/>
    <col min="6" max="6" width="9.57421875" style="0" customWidth="1"/>
    <col min="7" max="7" width="4.7109375" style="0" hidden="1" customWidth="1"/>
    <col min="8" max="8" width="10.140625" style="0" hidden="1" customWidth="1"/>
  </cols>
  <sheetData>
    <row r="1" spans="2:8" ht="20.25">
      <c r="B1" s="61" t="s">
        <v>183</v>
      </c>
      <c r="C1" s="61"/>
      <c r="D1" s="61"/>
      <c r="E1" s="61"/>
      <c r="F1" s="61"/>
      <c r="G1" s="61"/>
      <c r="H1" s="61"/>
    </row>
    <row r="2" spans="2:8" ht="20.25">
      <c r="B2" s="61" t="s">
        <v>184</v>
      </c>
      <c r="C2" s="61"/>
      <c r="D2" s="61"/>
      <c r="E2" s="61"/>
      <c r="F2" s="61"/>
      <c r="G2" s="61"/>
      <c r="H2" s="61"/>
    </row>
    <row r="4" spans="1:8" ht="15.75">
      <c r="A4" s="74" t="s">
        <v>181</v>
      </c>
      <c r="B4" s="74"/>
      <c r="C4" s="74"/>
      <c r="D4" s="74"/>
      <c r="E4" s="74"/>
      <c r="F4" s="74"/>
      <c r="G4" s="74"/>
      <c r="H4" s="74"/>
    </row>
    <row r="5" spans="1:8" ht="15.75">
      <c r="A5" s="74" t="s">
        <v>182</v>
      </c>
      <c r="B5" s="74"/>
      <c r="C5" s="74"/>
      <c r="D5" s="74"/>
      <c r="E5" s="74"/>
      <c r="F5" s="74"/>
      <c r="G5" s="74"/>
      <c r="H5" s="74"/>
    </row>
    <row r="6" ht="6.75" customHeight="1"/>
    <row r="7" ht="5.25" customHeight="1"/>
    <row r="8" ht="7.5" customHeight="1"/>
    <row r="9" spans="1:8" ht="6" customHeight="1">
      <c r="A9" s="43"/>
      <c r="B9" s="43"/>
      <c r="C9" s="43"/>
      <c r="D9" s="43"/>
      <c r="E9" s="43"/>
      <c r="F9" s="43"/>
      <c r="G9" s="43"/>
      <c r="H9" s="43"/>
    </row>
    <row r="10" spans="1:8" ht="229.5" customHeight="1">
      <c r="A10" s="73" t="s">
        <v>0</v>
      </c>
      <c r="B10" s="73"/>
      <c r="C10" s="73"/>
      <c r="D10" s="73"/>
      <c r="E10" s="73"/>
      <c r="F10" s="73"/>
      <c r="G10" s="73"/>
      <c r="H10" s="73"/>
    </row>
    <row r="11" spans="1:8" ht="136.5" customHeight="1">
      <c r="A11" s="73" t="s">
        <v>185</v>
      </c>
      <c r="B11" s="73"/>
      <c r="C11" s="73"/>
      <c r="D11" s="73"/>
      <c r="E11" s="73"/>
      <c r="F11" s="73"/>
      <c r="G11" s="73"/>
      <c r="H11" s="73"/>
    </row>
    <row r="12" spans="1:8" ht="157.5" customHeight="1">
      <c r="A12" s="73" t="s">
        <v>108</v>
      </c>
      <c r="B12" s="73"/>
      <c r="C12" s="73"/>
      <c r="D12" s="73"/>
      <c r="E12" s="73"/>
      <c r="F12" s="73"/>
      <c r="G12" s="73"/>
      <c r="H12" s="73"/>
    </row>
    <row r="13" spans="1:8" ht="18.75" customHeight="1">
      <c r="A13" s="68" t="s">
        <v>109</v>
      </c>
      <c r="B13" s="68"/>
      <c r="C13" s="68"/>
      <c r="D13" s="68"/>
      <c r="E13" s="68"/>
      <c r="F13" s="68"/>
      <c r="G13" s="68"/>
      <c r="H13" s="68"/>
    </row>
    <row r="14" spans="1:8" ht="18.75" customHeight="1">
      <c r="A14" s="35"/>
      <c r="B14" s="35"/>
      <c r="C14" s="35"/>
      <c r="D14" s="35"/>
      <c r="E14" s="35"/>
      <c r="F14" s="35"/>
      <c r="G14" s="35"/>
      <c r="H14" s="35"/>
    </row>
    <row r="15" spans="1:8" ht="18.75" customHeight="1">
      <c r="A15" s="35"/>
      <c r="B15" s="35"/>
      <c r="C15" s="35"/>
      <c r="D15" s="35"/>
      <c r="E15" s="35"/>
      <c r="F15" s="35"/>
      <c r="G15" s="35"/>
      <c r="H15" s="35"/>
    </row>
    <row r="16" spans="1:8" ht="18.75" customHeight="1">
      <c r="A16" s="69" t="s">
        <v>110</v>
      </c>
      <c r="B16" s="69"/>
      <c r="C16" s="69"/>
      <c r="D16" s="69" t="s">
        <v>187</v>
      </c>
      <c r="E16" s="69"/>
      <c r="F16" s="69"/>
      <c r="G16" s="69"/>
      <c r="H16" s="69"/>
    </row>
    <row r="17" spans="1:8" ht="18.75" customHeight="1">
      <c r="A17" s="69" t="s">
        <v>111</v>
      </c>
      <c r="B17" s="69"/>
      <c r="C17" s="69"/>
      <c r="D17" s="69" t="s">
        <v>186</v>
      </c>
      <c r="E17" s="69"/>
      <c r="F17" s="69"/>
      <c r="G17" s="69"/>
      <c r="H17" s="69"/>
    </row>
    <row r="18" spans="1:8" ht="15" customHeight="1">
      <c r="A18" s="31"/>
      <c r="B18" s="31"/>
      <c r="C18" s="31"/>
      <c r="D18" s="69"/>
      <c r="E18" s="69"/>
      <c r="F18" s="69"/>
      <c r="G18" s="69"/>
      <c r="H18" s="69"/>
    </row>
    <row r="19" spans="1:8" ht="15" customHeight="1">
      <c r="A19" s="31"/>
      <c r="B19" s="31"/>
      <c r="C19" s="31"/>
      <c r="D19" s="32"/>
      <c r="E19" s="32"/>
      <c r="F19" s="32"/>
      <c r="G19" s="32"/>
      <c r="H19" s="32"/>
    </row>
    <row r="20" spans="1:8" ht="15" customHeight="1">
      <c r="A20" s="31"/>
      <c r="B20" s="31"/>
      <c r="C20" s="31"/>
      <c r="D20" s="32"/>
      <c r="E20" s="32"/>
      <c r="F20" s="32"/>
      <c r="G20" s="32"/>
      <c r="H20" s="32"/>
    </row>
    <row r="21" spans="1:8" ht="18" customHeight="1">
      <c r="A21" s="30"/>
      <c r="B21" s="30"/>
      <c r="C21" s="30"/>
      <c r="D21" s="30"/>
      <c r="E21" s="30"/>
      <c r="F21" s="30"/>
      <c r="G21" s="30"/>
      <c r="H21" s="30"/>
    </row>
    <row r="22" spans="1:8" ht="54" customHeight="1">
      <c r="A22" s="69" t="s">
        <v>99</v>
      </c>
      <c r="B22" s="69"/>
      <c r="C22" s="69"/>
      <c r="D22" s="69"/>
      <c r="E22" s="69"/>
      <c r="F22" s="69"/>
      <c r="G22" s="69"/>
      <c r="H22" s="69"/>
    </row>
    <row r="23" spans="1:8" ht="12.75">
      <c r="A23" s="30"/>
      <c r="B23" s="30"/>
      <c r="C23" s="30"/>
      <c r="D23" s="30"/>
      <c r="E23" s="30"/>
      <c r="F23" s="30"/>
      <c r="G23" s="30"/>
      <c r="H23" s="30"/>
    </row>
    <row r="24" spans="2:5" ht="18" customHeight="1">
      <c r="B24" s="33" t="s">
        <v>74</v>
      </c>
      <c r="C24" s="33" t="s">
        <v>75</v>
      </c>
      <c r="D24" s="33" t="s">
        <v>76</v>
      </c>
      <c r="E24" s="33" t="s">
        <v>77</v>
      </c>
    </row>
    <row r="25" spans="2:5" ht="18" customHeight="1">
      <c r="B25" s="22" t="s">
        <v>78</v>
      </c>
      <c r="C25" s="23">
        <v>4403000</v>
      </c>
      <c r="D25" s="23">
        <v>1486000</v>
      </c>
      <c r="E25" s="23">
        <f>D25/C25*100</f>
        <v>33.74971610265728</v>
      </c>
    </row>
    <row r="26" spans="2:5" ht="18" customHeight="1">
      <c r="B26" s="22" t="s">
        <v>79</v>
      </c>
      <c r="C26" s="23">
        <v>3285000</v>
      </c>
      <c r="D26" s="23">
        <v>1357000</v>
      </c>
      <c r="E26" s="23">
        <f aca="true" t="shared" si="0" ref="E26:E42">D26/C26*100</f>
        <v>41.308980213089804</v>
      </c>
    </row>
    <row r="27" spans="2:5" ht="18" customHeight="1">
      <c r="B27" s="22" t="s">
        <v>80</v>
      </c>
      <c r="C27" s="23">
        <v>3794000</v>
      </c>
      <c r="D27" s="23">
        <v>1319000</v>
      </c>
      <c r="E27" s="23">
        <f t="shared" si="0"/>
        <v>34.76541908276226</v>
      </c>
    </row>
    <row r="28" spans="2:5" ht="18" customHeight="1">
      <c r="B28" s="22" t="s">
        <v>81</v>
      </c>
      <c r="C28" s="23">
        <v>4011000</v>
      </c>
      <c r="D28" s="23">
        <v>1517000</v>
      </c>
      <c r="E28" s="23">
        <f t="shared" si="0"/>
        <v>37.82099227125405</v>
      </c>
    </row>
    <row r="29" spans="2:5" ht="18" customHeight="1">
      <c r="B29" s="22" t="s">
        <v>82</v>
      </c>
      <c r="C29" s="23">
        <v>3814000</v>
      </c>
      <c r="D29" s="23">
        <v>1415000</v>
      </c>
      <c r="E29" s="23">
        <f t="shared" si="0"/>
        <v>37.10015731515469</v>
      </c>
    </row>
    <row r="30" spans="2:5" ht="18" customHeight="1">
      <c r="B30" s="22" t="s">
        <v>83</v>
      </c>
      <c r="C30" s="23">
        <v>3286000</v>
      </c>
      <c r="D30" s="23">
        <v>1667000</v>
      </c>
      <c r="E30" s="23">
        <f t="shared" si="0"/>
        <v>50.7303712720633</v>
      </c>
    </row>
    <row r="31" spans="2:5" ht="18" customHeight="1">
      <c r="B31" s="22" t="s">
        <v>84</v>
      </c>
      <c r="C31" s="23">
        <v>3578000</v>
      </c>
      <c r="D31" s="23">
        <v>1424000</v>
      </c>
      <c r="E31" s="23">
        <f t="shared" si="0"/>
        <v>39.7987702627166</v>
      </c>
    </row>
    <row r="32" spans="2:5" ht="18" customHeight="1">
      <c r="B32" s="22" t="s">
        <v>85</v>
      </c>
      <c r="C32" s="23">
        <v>3701000</v>
      </c>
      <c r="D32" s="23">
        <v>1607000</v>
      </c>
      <c r="E32" s="23">
        <f t="shared" si="0"/>
        <v>43.42069710888949</v>
      </c>
    </row>
    <row r="33" spans="2:5" ht="18" customHeight="1">
      <c r="B33" s="22" t="s">
        <v>86</v>
      </c>
      <c r="C33" s="23">
        <v>3593000</v>
      </c>
      <c r="D33" s="23">
        <v>1481000</v>
      </c>
      <c r="E33" s="23">
        <f t="shared" si="0"/>
        <v>41.21903701642082</v>
      </c>
    </row>
    <row r="34" spans="2:5" ht="18" customHeight="1">
      <c r="B34" s="22" t="s">
        <v>87</v>
      </c>
      <c r="C34" s="23">
        <v>3829000</v>
      </c>
      <c r="D34" s="23">
        <v>1487000</v>
      </c>
      <c r="E34" s="23">
        <f t="shared" si="0"/>
        <v>38.835205014364064</v>
      </c>
    </row>
    <row r="35" spans="2:5" ht="18" customHeight="1">
      <c r="B35" s="22" t="s">
        <v>88</v>
      </c>
      <c r="C35" s="23">
        <v>3916000</v>
      </c>
      <c r="D35" s="23">
        <v>1497000</v>
      </c>
      <c r="E35" s="23">
        <f t="shared" si="0"/>
        <v>38.22778345250256</v>
      </c>
    </row>
    <row r="36" spans="2:5" ht="18" customHeight="1">
      <c r="B36" s="22" t="s">
        <v>89</v>
      </c>
      <c r="C36" s="24">
        <v>4873000</v>
      </c>
      <c r="D36" s="24">
        <v>2825000</v>
      </c>
      <c r="E36" s="23">
        <f t="shared" si="0"/>
        <v>57.97250153909296</v>
      </c>
    </row>
    <row r="37" spans="2:5" ht="18" customHeight="1">
      <c r="B37" s="22" t="s">
        <v>128</v>
      </c>
      <c r="C37" s="25">
        <f>SUM(C25:C36)</f>
        <v>46083000</v>
      </c>
      <c r="D37" s="25">
        <f>SUM(D25:D36)</f>
        <v>19082000</v>
      </c>
      <c r="E37" s="23">
        <f t="shared" si="0"/>
        <v>41.4078944513161</v>
      </c>
    </row>
    <row r="38" spans="2:5" ht="18" customHeight="1">
      <c r="B38" s="22" t="s">
        <v>90</v>
      </c>
      <c r="C38" s="25">
        <f>SUM(C27:C36)</f>
        <v>38395000</v>
      </c>
      <c r="D38" s="25">
        <f>SUM(D27:D36)</f>
        <v>16239000</v>
      </c>
      <c r="E38" s="23">
        <f t="shared" si="0"/>
        <v>42.29456960541737</v>
      </c>
    </row>
    <row r="39" spans="2:5" ht="18" customHeight="1">
      <c r="B39" s="22" t="s">
        <v>91</v>
      </c>
      <c r="C39" s="25">
        <v>8495000</v>
      </c>
      <c r="D39" s="25">
        <f>2487000+116100</f>
        <v>2603100</v>
      </c>
      <c r="E39" s="23">
        <f t="shared" si="0"/>
        <v>30.642731018246028</v>
      </c>
    </row>
    <row r="40" spans="2:5" ht="18" customHeight="1">
      <c r="B40" s="22" t="s">
        <v>92</v>
      </c>
      <c r="C40" s="25">
        <f>C38+C39</f>
        <v>46890000</v>
      </c>
      <c r="D40" s="25">
        <f>D38+D39</f>
        <v>18842100</v>
      </c>
      <c r="E40" s="23">
        <f t="shared" si="0"/>
        <v>40.183621241202815</v>
      </c>
    </row>
    <row r="41" spans="2:5" ht="18" customHeight="1">
      <c r="B41" s="26"/>
      <c r="C41" s="26"/>
      <c r="D41" s="26"/>
      <c r="E41" s="23"/>
    </row>
    <row r="42" spans="2:5" ht="18" customHeight="1">
      <c r="B42" s="24" t="s">
        <v>93</v>
      </c>
      <c r="C42" s="23">
        <v>37320865</v>
      </c>
      <c r="D42" s="23">
        <f>D45+D46+D48+D49+D47+D50</f>
        <v>16243100</v>
      </c>
      <c r="E42" s="23">
        <f t="shared" si="0"/>
        <v>43.522839033875556</v>
      </c>
    </row>
    <row r="43" spans="2:5" ht="18" customHeight="1">
      <c r="B43" s="26" t="s">
        <v>94</v>
      </c>
      <c r="C43" s="25">
        <f>C39+C42</f>
        <v>45815865</v>
      </c>
      <c r="D43" s="25">
        <f>D39+D42</f>
        <v>18846200</v>
      </c>
      <c r="E43" s="23">
        <f>D43/C43*100</f>
        <v>41.13465935871778</v>
      </c>
    </row>
    <row r="44" spans="2:5" ht="18" customHeight="1">
      <c r="B44" s="27"/>
      <c r="C44" s="28"/>
      <c r="D44" s="28"/>
      <c r="E44" s="29"/>
    </row>
    <row r="45" spans="2:5" ht="18" customHeight="1">
      <c r="B45" s="70" t="s">
        <v>95</v>
      </c>
      <c r="C45" s="25" t="s">
        <v>96</v>
      </c>
      <c r="D45" s="25">
        <v>320000</v>
      </c>
      <c r="E45" s="29"/>
    </row>
    <row r="46" spans="2:5" ht="18" customHeight="1">
      <c r="B46" s="71"/>
      <c r="C46" s="26" t="s">
        <v>100</v>
      </c>
      <c r="D46" s="23">
        <v>2600000</v>
      </c>
      <c r="E46" s="27"/>
    </row>
    <row r="47" spans="2:5" ht="18" customHeight="1">
      <c r="B47" s="72"/>
      <c r="C47" s="26" t="s">
        <v>97</v>
      </c>
      <c r="D47" s="23">
        <v>116100</v>
      </c>
      <c r="E47" s="27"/>
    </row>
    <row r="48" spans="2:5" ht="18" customHeight="1">
      <c r="B48" s="70" t="s">
        <v>98</v>
      </c>
      <c r="C48" s="26" t="s">
        <v>96</v>
      </c>
      <c r="D48" s="23">
        <v>1584000</v>
      </c>
      <c r="E48" s="27"/>
    </row>
    <row r="49" spans="2:5" ht="18" customHeight="1">
      <c r="B49" s="72"/>
      <c r="C49" s="26" t="s">
        <v>100</v>
      </c>
      <c r="D49" s="23">
        <v>11100000</v>
      </c>
      <c r="E49" s="27"/>
    </row>
    <row r="50" spans="2:5" ht="18" customHeight="1">
      <c r="B50" s="27"/>
      <c r="C50" s="26" t="s">
        <v>97</v>
      </c>
      <c r="D50" s="23">
        <v>523000</v>
      </c>
      <c r="E50" s="27"/>
    </row>
    <row r="51" ht="18" customHeight="1"/>
    <row r="63" spans="1:8" ht="46.5" customHeight="1">
      <c r="A63" s="69" t="s">
        <v>101</v>
      </c>
      <c r="B63" s="69"/>
      <c r="C63" s="69"/>
      <c r="D63" s="69"/>
      <c r="E63" s="69"/>
      <c r="F63" s="69"/>
      <c r="G63" s="69"/>
      <c r="H63" s="69"/>
    </row>
    <row r="64" spans="1:8" ht="12.75">
      <c r="A64" s="30"/>
      <c r="B64" s="30"/>
      <c r="C64" s="30"/>
      <c r="D64" s="30"/>
      <c r="E64" s="30"/>
      <c r="F64" s="30"/>
      <c r="G64" s="30"/>
      <c r="H64" s="30"/>
    </row>
    <row r="65" spans="1:6" ht="16.5" customHeight="1">
      <c r="A65" s="27"/>
      <c r="B65" s="27"/>
      <c r="C65" s="27"/>
      <c r="D65" s="27"/>
      <c r="E65" s="27"/>
      <c r="F65" s="27"/>
    </row>
    <row r="66" spans="1:6" ht="20.25" customHeight="1">
      <c r="A66" s="27"/>
      <c r="B66" s="64" t="s">
        <v>102</v>
      </c>
      <c r="C66" s="65"/>
      <c r="D66" s="66"/>
      <c r="E66" s="23">
        <v>1054247.91</v>
      </c>
      <c r="F66" s="27"/>
    </row>
    <row r="67" spans="1:6" ht="19.5" customHeight="1">
      <c r="A67" s="27"/>
      <c r="B67" s="64" t="s">
        <v>103</v>
      </c>
      <c r="C67" s="65"/>
      <c r="D67" s="66"/>
      <c r="E67" s="23">
        <f>E66*0.21</f>
        <v>221392.06109999996</v>
      </c>
      <c r="F67" s="27"/>
    </row>
    <row r="68" spans="1:6" ht="20.25" customHeight="1">
      <c r="A68" s="27"/>
      <c r="B68" s="64" t="s">
        <v>104</v>
      </c>
      <c r="C68" s="65"/>
      <c r="D68" s="66"/>
      <c r="E68" s="36">
        <f>E66+E67</f>
        <v>1275639.9711</v>
      </c>
      <c r="F68" s="27"/>
    </row>
    <row r="69" spans="1:6" s="41" customFormat="1" ht="16.5" customHeight="1">
      <c r="A69" s="37"/>
      <c r="B69" s="37"/>
      <c r="C69" s="37"/>
      <c r="D69" s="37"/>
      <c r="E69" s="40"/>
      <c r="F69" s="37"/>
    </row>
    <row r="70" spans="1:6" ht="16.5" customHeight="1">
      <c r="A70" s="27"/>
      <c r="B70" s="64" t="s">
        <v>105</v>
      </c>
      <c r="C70" s="65"/>
      <c r="D70" s="66"/>
      <c r="E70" s="23">
        <v>1220000</v>
      </c>
      <c r="F70" s="27"/>
    </row>
    <row r="71" spans="1:6" ht="16.5" customHeight="1">
      <c r="A71" s="27"/>
      <c r="B71" s="64" t="s">
        <v>103</v>
      </c>
      <c r="C71" s="65"/>
      <c r="D71" s="66"/>
      <c r="E71" s="23">
        <f>E70*0.21</f>
        <v>256200</v>
      </c>
      <c r="F71" s="27"/>
    </row>
    <row r="72" spans="1:6" ht="19.5" customHeight="1">
      <c r="A72" s="27"/>
      <c r="B72" s="67" t="s">
        <v>106</v>
      </c>
      <c r="C72" s="67"/>
      <c r="D72" s="67"/>
      <c r="E72" s="36">
        <f>E70+E71</f>
        <v>1476200</v>
      </c>
      <c r="F72" s="27"/>
    </row>
    <row r="73" spans="1:6" s="41" customFormat="1" ht="16.5" customHeight="1">
      <c r="A73" s="37"/>
      <c r="B73" s="37"/>
      <c r="C73" s="37"/>
      <c r="D73" s="37"/>
      <c r="E73" s="40"/>
      <c r="F73" s="37"/>
    </row>
    <row r="74" spans="1:6" ht="16.5" customHeight="1">
      <c r="A74" s="27"/>
      <c r="B74" s="67" t="s">
        <v>107</v>
      </c>
      <c r="C74" s="67"/>
      <c r="D74" s="67"/>
      <c r="E74" s="36">
        <f>E72-E68</f>
        <v>200560.02890000003</v>
      </c>
      <c r="F74" s="27"/>
    </row>
    <row r="75" spans="1:6" ht="16.5" customHeight="1">
      <c r="A75" s="27"/>
      <c r="B75" s="27"/>
      <c r="C75" s="27"/>
      <c r="D75" s="27"/>
      <c r="E75" s="34"/>
      <c r="F75" s="27"/>
    </row>
    <row r="76" spans="1:6" ht="16.5" customHeight="1">
      <c r="A76" s="27"/>
      <c r="B76" s="27"/>
      <c r="C76" s="27"/>
      <c r="D76" s="27"/>
      <c r="E76" s="34"/>
      <c r="F76" s="27"/>
    </row>
    <row r="77" ht="12.75">
      <c r="E77" s="19"/>
    </row>
  </sheetData>
  <mergeCells count="24">
    <mergeCell ref="A4:H4"/>
    <mergeCell ref="A5:H5"/>
    <mergeCell ref="B1:H1"/>
    <mergeCell ref="B2:H2"/>
    <mergeCell ref="B45:B47"/>
    <mergeCell ref="B48:B49"/>
    <mergeCell ref="A63:H63"/>
    <mergeCell ref="A10:H10"/>
    <mergeCell ref="A11:H11"/>
    <mergeCell ref="A12:H12"/>
    <mergeCell ref="B74:D74"/>
    <mergeCell ref="B72:D72"/>
    <mergeCell ref="A13:H13"/>
    <mergeCell ref="A16:C16"/>
    <mergeCell ref="D16:H16"/>
    <mergeCell ref="D17:H17"/>
    <mergeCell ref="A17:C17"/>
    <mergeCell ref="D18:H18"/>
    <mergeCell ref="B66:D66"/>
    <mergeCell ref="A22:H22"/>
    <mergeCell ref="B67:D67"/>
    <mergeCell ref="B68:D68"/>
    <mergeCell ref="B70:D70"/>
    <mergeCell ref="B71:D71"/>
  </mergeCells>
  <printOptions horizontalCentered="1"/>
  <pageMargins left="0.4724409448818898" right="0.5118110236220472" top="0.5118110236220472" bottom="0.5511811023622047" header="0.3937007874015748" footer="0.35433070866141736"/>
  <pageSetup horizontalDpi="300" verticalDpi="300" orientation="portrait" paperSize="9" r:id="rId2"/>
  <rowBreaks count="1" manualBreakCount="1">
    <brk id="1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Divisão de Sistemas</cp:lastModifiedBy>
  <cp:lastPrinted>2005-05-05T16:15:08Z</cp:lastPrinted>
  <dcterms:created xsi:type="dcterms:W3CDTF">2005-04-07T13:10:59Z</dcterms:created>
  <dcterms:modified xsi:type="dcterms:W3CDTF">2008-05-26T17:25:04Z</dcterms:modified>
  <cp:category/>
  <cp:version/>
  <cp:contentType/>
  <cp:contentStatus/>
</cp:coreProperties>
</file>